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ork\Web\portfolio\public\research\valuation-models\"/>
    </mc:Choice>
  </mc:AlternateContent>
  <xr:revisionPtr revIDLastSave="0" documentId="13_ncr:1_{62AC5C26-BB27-4172-B892-3983F6E0727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aluation Summary" sheetId="1" r:id="rId1"/>
    <sheet name="DCF" sheetId="2" r:id="rId2"/>
    <sheet name="NWC" sheetId="3" r:id="rId3"/>
    <sheet name="WACC" sheetId="4" r:id="rId4"/>
    <sheet name="A1" sheetId="5" r:id="rId5"/>
    <sheet name="A2" sheetId="6" r:id="rId6"/>
    <sheet name="Sources" sheetId="7" r:id="rId7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0" i="6" l="1"/>
  <c r="L50" i="6" s="1"/>
  <c r="M50" i="6" s="1"/>
  <c r="N50" i="6" s="1"/>
  <c r="O50" i="6" s="1"/>
  <c r="K49" i="6"/>
  <c r="L49" i="6" s="1"/>
  <c r="M49" i="6" s="1"/>
  <c r="N49" i="6" s="1"/>
  <c r="O49" i="6" s="1"/>
  <c r="K48" i="6"/>
  <c r="L48" i="6" s="1"/>
  <c r="M48" i="6" s="1"/>
  <c r="N48" i="6" s="1"/>
  <c r="O48" i="6" s="1"/>
  <c r="K47" i="6"/>
  <c r="L47" i="6" s="1"/>
  <c r="M47" i="6" s="1"/>
  <c r="N47" i="6" s="1"/>
  <c r="O47" i="6" s="1"/>
  <c r="K46" i="6"/>
  <c r="L46" i="6" s="1"/>
  <c r="L45" i="6" s="1"/>
  <c r="J45" i="6"/>
  <c r="M35" i="3" s="1"/>
  <c r="I45" i="6"/>
  <c r="L35" i="3" s="1"/>
  <c r="H45" i="6"/>
  <c r="K35" i="3" s="1"/>
  <c r="G45" i="6"/>
  <c r="J35" i="3" s="1"/>
  <c r="F45" i="6"/>
  <c r="I35" i="3" s="1"/>
  <c r="K43" i="6"/>
  <c r="L43" i="6" s="1"/>
  <c r="M43" i="6" s="1"/>
  <c r="N43" i="6" s="1"/>
  <c r="O43" i="6" s="1"/>
  <c r="K42" i="6"/>
  <c r="L42" i="6" s="1"/>
  <c r="M42" i="6" s="1"/>
  <c r="N42" i="6" s="1"/>
  <c r="O42" i="6" s="1"/>
  <c r="K41" i="6"/>
  <c r="L41" i="6" s="1"/>
  <c r="M41" i="6" s="1"/>
  <c r="N41" i="6" s="1"/>
  <c r="O41" i="6" s="1"/>
  <c r="K40" i="6"/>
  <c r="L40" i="6" s="1"/>
  <c r="M40" i="6" s="1"/>
  <c r="N40" i="6" s="1"/>
  <c r="O40" i="6" s="1"/>
  <c r="K39" i="6"/>
  <c r="K38" i="6" s="1"/>
  <c r="J38" i="6"/>
  <c r="M34" i="3" s="1"/>
  <c r="I38" i="6"/>
  <c r="L34" i="3" s="1"/>
  <c r="H38" i="6"/>
  <c r="K34" i="3" s="1"/>
  <c r="G38" i="6"/>
  <c r="J34" i="3" s="1"/>
  <c r="F38" i="6"/>
  <c r="I34" i="3" s="1"/>
  <c r="K36" i="6"/>
  <c r="L36" i="6" s="1"/>
  <c r="M36" i="6" s="1"/>
  <c r="N36" i="6" s="1"/>
  <c r="O36" i="6" s="1"/>
  <c r="K35" i="6"/>
  <c r="L35" i="6" s="1"/>
  <c r="M35" i="6" s="1"/>
  <c r="N35" i="6" s="1"/>
  <c r="O35" i="6" s="1"/>
  <c r="K34" i="6"/>
  <c r="L34" i="6" s="1"/>
  <c r="M34" i="6" s="1"/>
  <c r="N34" i="6" s="1"/>
  <c r="O34" i="6" s="1"/>
  <c r="K33" i="6"/>
  <c r="L33" i="6" s="1"/>
  <c r="M33" i="6" s="1"/>
  <c r="N33" i="6" s="1"/>
  <c r="O33" i="6" s="1"/>
  <c r="K32" i="6"/>
  <c r="K31" i="6" s="1"/>
  <c r="J31" i="6"/>
  <c r="M33" i="3" s="1"/>
  <c r="I31" i="6"/>
  <c r="L33" i="3" s="1"/>
  <c r="H31" i="6"/>
  <c r="G31" i="6"/>
  <c r="J33" i="3" s="1"/>
  <c r="F31" i="6"/>
  <c r="I33" i="3" s="1"/>
  <c r="K28" i="6"/>
  <c r="L28" i="6" s="1"/>
  <c r="M28" i="6" s="1"/>
  <c r="N28" i="6" s="1"/>
  <c r="O28" i="6" s="1"/>
  <c r="K27" i="6"/>
  <c r="L27" i="6" s="1"/>
  <c r="M27" i="6" s="1"/>
  <c r="N27" i="6" s="1"/>
  <c r="O27" i="6" s="1"/>
  <c r="K26" i="6"/>
  <c r="L26" i="6" s="1"/>
  <c r="M26" i="6" s="1"/>
  <c r="N26" i="6" s="1"/>
  <c r="O26" i="6" s="1"/>
  <c r="K25" i="6"/>
  <c r="L25" i="6" s="1"/>
  <c r="M25" i="6" s="1"/>
  <c r="N25" i="6" s="1"/>
  <c r="O25" i="6" s="1"/>
  <c r="K24" i="6"/>
  <c r="K23" i="6" s="1"/>
  <c r="J23" i="6"/>
  <c r="M31" i="3" s="1"/>
  <c r="I23" i="6"/>
  <c r="L31" i="3" s="1"/>
  <c r="H23" i="6"/>
  <c r="K31" i="3" s="1"/>
  <c r="G23" i="6"/>
  <c r="J31" i="3" s="1"/>
  <c r="F23" i="6"/>
  <c r="I31" i="3" s="1"/>
  <c r="K21" i="6"/>
  <c r="L21" i="6" s="1"/>
  <c r="M21" i="6" s="1"/>
  <c r="N21" i="6" s="1"/>
  <c r="O21" i="6" s="1"/>
  <c r="K20" i="6"/>
  <c r="L20" i="6" s="1"/>
  <c r="M20" i="6" s="1"/>
  <c r="N20" i="6" s="1"/>
  <c r="O20" i="6" s="1"/>
  <c r="K19" i="6"/>
  <c r="L19" i="6" s="1"/>
  <c r="M19" i="6" s="1"/>
  <c r="N19" i="6" s="1"/>
  <c r="O19" i="6" s="1"/>
  <c r="K18" i="6"/>
  <c r="L18" i="6" s="1"/>
  <c r="M18" i="6" s="1"/>
  <c r="N18" i="6" s="1"/>
  <c r="O18" i="6" s="1"/>
  <c r="K17" i="6"/>
  <c r="K16" i="6" s="1"/>
  <c r="J16" i="6"/>
  <c r="M30" i="3" s="1"/>
  <c r="I16" i="6"/>
  <c r="L30" i="3" s="1"/>
  <c r="H16" i="6"/>
  <c r="K30" i="3" s="1"/>
  <c r="G16" i="6"/>
  <c r="F16" i="6"/>
  <c r="I30" i="3" s="1"/>
  <c r="K14" i="6"/>
  <c r="L14" i="6" s="1"/>
  <c r="M14" i="6" s="1"/>
  <c r="N14" i="6" s="1"/>
  <c r="O14" i="6" s="1"/>
  <c r="K13" i="6"/>
  <c r="L13" i="6" s="1"/>
  <c r="M13" i="6" s="1"/>
  <c r="N13" i="6" s="1"/>
  <c r="O13" i="6" s="1"/>
  <c r="K12" i="6"/>
  <c r="L12" i="6" s="1"/>
  <c r="M12" i="6" s="1"/>
  <c r="N12" i="6" s="1"/>
  <c r="O12" i="6" s="1"/>
  <c r="K11" i="6"/>
  <c r="L11" i="6" s="1"/>
  <c r="M11" i="6" s="1"/>
  <c r="N11" i="6" s="1"/>
  <c r="O11" i="6" s="1"/>
  <c r="K10" i="6"/>
  <c r="K9" i="6" s="1"/>
  <c r="J9" i="6"/>
  <c r="M29" i="3" s="1"/>
  <c r="I9" i="6"/>
  <c r="L29" i="3" s="1"/>
  <c r="H9" i="6"/>
  <c r="K29" i="3" s="1"/>
  <c r="G9" i="6"/>
  <c r="J29" i="3" s="1"/>
  <c r="F9" i="6"/>
  <c r="I29" i="3" s="1"/>
  <c r="O6" i="6"/>
  <c r="N6" i="6"/>
  <c r="M6" i="6"/>
  <c r="L6" i="6"/>
  <c r="K6" i="6"/>
  <c r="J6" i="6"/>
  <c r="I6" i="6"/>
  <c r="H6" i="6"/>
  <c r="G6" i="6"/>
  <c r="F6" i="6"/>
  <c r="K43" i="5"/>
  <c r="L43" i="5" s="1"/>
  <c r="M43" i="5" s="1"/>
  <c r="N43" i="5" s="1"/>
  <c r="O43" i="5" s="1"/>
  <c r="K42" i="5"/>
  <c r="L42" i="5" s="1"/>
  <c r="M42" i="5" s="1"/>
  <c r="N42" i="5" s="1"/>
  <c r="O42" i="5" s="1"/>
  <c r="K41" i="5"/>
  <c r="L41" i="5" s="1"/>
  <c r="M41" i="5" s="1"/>
  <c r="N41" i="5" s="1"/>
  <c r="O41" i="5" s="1"/>
  <c r="K40" i="5"/>
  <c r="L40" i="5" s="1"/>
  <c r="M40" i="5" s="1"/>
  <c r="N40" i="5" s="1"/>
  <c r="O40" i="5" s="1"/>
  <c r="K39" i="5"/>
  <c r="L39" i="5" s="1"/>
  <c r="J38" i="5"/>
  <c r="N63" i="2" s="1"/>
  <c r="I38" i="5"/>
  <c r="M63" i="2" s="1"/>
  <c r="H38" i="5"/>
  <c r="L63" i="2" s="1"/>
  <c r="G38" i="5"/>
  <c r="K63" i="2" s="1"/>
  <c r="F38" i="5"/>
  <c r="J63" i="2" s="1"/>
  <c r="K35" i="5"/>
  <c r="L35" i="5" s="1"/>
  <c r="M35" i="5" s="1"/>
  <c r="N35" i="5" s="1"/>
  <c r="O35" i="5" s="1"/>
  <c r="K34" i="5"/>
  <c r="L34" i="5" s="1"/>
  <c r="M34" i="5" s="1"/>
  <c r="N34" i="5" s="1"/>
  <c r="O34" i="5" s="1"/>
  <c r="K33" i="5"/>
  <c r="L33" i="5" s="1"/>
  <c r="M33" i="5" s="1"/>
  <c r="N33" i="5" s="1"/>
  <c r="O33" i="5" s="1"/>
  <c r="K32" i="5"/>
  <c r="L32" i="5" s="1"/>
  <c r="M32" i="5" s="1"/>
  <c r="N32" i="5" s="1"/>
  <c r="O32" i="5" s="1"/>
  <c r="K31" i="5"/>
  <c r="L31" i="5" s="1"/>
  <c r="J30" i="5"/>
  <c r="N62" i="2" s="1"/>
  <c r="I30" i="5"/>
  <c r="M62" i="2" s="1"/>
  <c r="H30" i="5"/>
  <c r="L62" i="2" s="1"/>
  <c r="G30" i="5"/>
  <c r="K62" i="2" s="1"/>
  <c r="F30" i="5"/>
  <c r="J62" i="2" s="1"/>
  <c r="K28" i="5"/>
  <c r="L28" i="5" s="1"/>
  <c r="M28" i="5" s="1"/>
  <c r="N28" i="5" s="1"/>
  <c r="O28" i="5" s="1"/>
  <c r="K27" i="5"/>
  <c r="L27" i="5" s="1"/>
  <c r="M27" i="5" s="1"/>
  <c r="N27" i="5" s="1"/>
  <c r="O27" i="5" s="1"/>
  <c r="K26" i="5"/>
  <c r="L26" i="5" s="1"/>
  <c r="M26" i="5" s="1"/>
  <c r="N26" i="5" s="1"/>
  <c r="O26" i="5" s="1"/>
  <c r="K25" i="5"/>
  <c r="L25" i="5" s="1"/>
  <c r="M25" i="5" s="1"/>
  <c r="N25" i="5" s="1"/>
  <c r="O25" i="5" s="1"/>
  <c r="K24" i="5"/>
  <c r="K23" i="5" s="1"/>
  <c r="J23" i="5"/>
  <c r="N61" i="2" s="1"/>
  <c r="I23" i="5"/>
  <c r="M61" i="2" s="1"/>
  <c r="H23" i="5"/>
  <c r="L61" i="2" s="1"/>
  <c r="G23" i="5"/>
  <c r="K61" i="2" s="1"/>
  <c r="F23" i="5"/>
  <c r="J61" i="2" s="1"/>
  <c r="K21" i="5"/>
  <c r="L21" i="5" s="1"/>
  <c r="M21" i="5" s="1"/>
  <c r="N21" i="5" s="1"/>
  <c r="O21" i="5" s="1"/>
  <c r="K20" i="5"/>
  <c r="L20" i="5" s="1"/>
  <c r="M20" i="5" s="1"/>
  <c r="N20" i="5" s="1"/>
  <c r="O20" i="5" s="1"/>
  <c r="K19" i="5"/>
  <c r="L19" i="5" s="1"/>
  <c r="M19" i="5" s="1"/>
  <c r="N19" i="5" s="1"/>
  <c r="O19" i="5" s="1"/>
  <c r="K18" i="5"/>
  <c r="L18" i="5" s="1"/>
  <c r="M18" i="5" s="1"/>
  <c r="N18" i="5" s="1"/>
  <c r="O18" i="5" s="1"/>
  <c r="K17" i="5"/>
  <c r="K16" i="5" s="1"/>
  <c r="J16" i="5"/>
  <c r="N60" i="2" s="1"/>
  <c r="I16" i="5"/>
  <c r="M60" i="2" s="1"/>
  <c r="H16" i="5"/>
  <c r="L60" i="2" s="1"/>
  <c r="G16" i="5"/>
  <c r="K60" i="2" s="1"/>
  <c r="F16" i="5"/>
  <c r="J60" i="2" s="1"/>
  <c r="K14" i="5"/>
  <c r="L14" i="5" s="1"/>
  <c r="M14" i="5" s="1"/>
  <c r="N14" i="5" s="1"/>
  <c r="O14" i="5" s="1"/>
  <c r="K13" i="5"/>
  <c r="L13" i="5" s="1"/>
  <c r="M13" i="5" s="1"/>
  <c r="N13" i="5" s="1"/>
  <c r="O13" i="5" s="1"/>
  <c r="K12" i="5"/>
  <c r="L12" i="5" s="1"/>
  <c r="M12" i="5" s="1"/>
  <c r="N12" i="5" s="1"/>
  <c r="O12" i="5" s="1"/>
  <c r="K11" i="5"/>
  <c r="L11" i="5" s="1"/>
  <c r="M11" i="5" s="1"/>
  <c r="N11" i="5" s="1"/>
  <c r="O11" i="5" s="1"/>
  <c r="K10" i="5"/>
  <c r="L10" i="5" s="1"/>
  <c r="J9" i="5"/>
  <c r="N59" i="2" s="1"/>
  <c r="I9" i="5"/>
  <c r="M59" i="2" s="1"/>
  <c r="H9" i="5"/>
  <c r="L59" i="2" s="1"/>
  <c r="G9" i="5"/>
  <c r="K59" i="2" s="1"/>
  <c r="F9" i="5"/>
  <c r="J59" i="2" s="1"/>
  <c r="J7" i="2" s="1"/>
  <c r="G30" i="4"/>
  <c r="G31" i="4" s="1"/>
  <c r="G28" i="4"/>
  <c r="G27" i="4" s="1"/>
  <c r="K26" i="4"/>
  <c r="L26" i="4" s="1"/>
  <c r="I26" i="4"/>
  <c r="H26" i="4" s="1"/>
  <c r="G26" i="4"/>
  <c r="K22" i="4"/>
  <c r="G16" i="4"/>
  <c r="G15" i="4"/>
  <c r="D15" i="4"/>
  <c r="J13" i="4"/>
  <c r="L13" i="4" s="1"/>
  <c r="J12" i="4"/>
  <c r="L12" i="4" s="1"/>
  <c r="J11" i="4"/>
  <c r="L11" i="4" s="1"/>
  <c r="J10" i="4"/>
  <c r="L10" i="4" s="1"/>
  <c r="J9" i="4"/>
  <c r="D9" i="4"/>
  <c r="J22" i="4" s="1"/>
  <c r="A1" i="4"/>
  <c r="K33" i="3"/>
  <c r="J30" i="3"/>
  <c r="E21" i="3"/>
  <c r="D21" i="3"/>
  <c r="C21" i="3"/>
  <c r="E15" i="3"/>
  <c r="D15" i="3"/>
  <c r="C15" i="3"/>
  <c r="G9" i="3"/>
  <c r="E9" i="3"/>
  <c r="E30" i="3" s="1"/>
  <c r="G30" i="3" s="1"/>
  <c r="D9" i="3"/>
  <c r="D30" i="3" s="1"/>
  <c r="C9" i="3"/>
  <c r="C30" i="3" s="1"/>
  <c r="G8" i="3"/>
  <c r="E8" i="3"/>
  <c r="E34" i="3" s="1"/>
  <c r="G34" i="3" s="1"/>
  <c r="D8" i="3"/>
  <c r="D34" i="3" s="1"/>
  <c r="C8" i="3"/>
  <c r="C34" i="3" s="1"/>
  <c r="M6" i="3"/>
  <c r="L6" i="3"/>
  <c r="K6" i="3"/>
  <c r="J6" i="3"/>
  <c r="I6" i="3"/>
  <c r="G6" i="3"/>
  <c r="E6" i="3"/>
  <c r="D6" i="3"/>
  <c r="C6" i="3"/>
  <c r="A1" i="3"/>
  <c r="F131" i="2"/>
  <c r="J41" i="2" s="1"/>
  <c r="C124" i="2"/>
  <c r="F113" i="2"/>
  <c r="F112" i="2"/>
  <c r="F111" i="2"/>
  <c r="F110" i="2"/>
  <c r="J101" i="2"/>
  <c r="J102" i="2" s="1"/>
  <c r="C101" i="2"/>
  <c r="C102" i="2" s="1"/>
  <c r="J99" i="2"/>
  <c r="J98" i="2" s="1"/>
  <c r="C99" i="2"/>
  <c r="C98" i="2" s="1"/>
  <c r="N97" i="2"/>
  <c r="O97" i="2" s="1"/>
  <c r="L97" i="2"/>
  <c r="K97" i="2" s="1"/>
  <c r="G97" i="2"/>
  <c r="H97" i="2" s="1"/>
  <c r="E97" i="2"/>
  <c r="D97" i="2" s="1"/>
  <c r="J91" i="2"/>
  <c r="J92" i="2" s="1"/>
  <c r="C91" i="2"/>
  <c r="C92" i="2" s="1"/>
  <c r="J89" i="2"/>
  <c r="J88" i="2" s="1"/>
  <c r="C89" i="2"/>
  <c r="C88" i="2" s="1"/>
  <c r="N87" i="2"/>
  <c r="O87" i="2" s="1"/>
  <c r="L87" i="2"/>
  <c r="K87" i="2" s="1"/>
  <c r="G87" i="2"/>
  <c r="H87" i="2" s="1"/>
  <c r="E87" i="2"/>
  <c r="D87" i="2" s="1"/>
  <c r="J81" i="2"/>
  <c r="J82" i="2" s="1"/>
  <c r="C81" i="2"/>
  <c r="C82" i="2" s="1"/>
  <c r="J79" i="2"/>
  <c r="J78" i="2" s="1"/>
  <c r="C79" i="2"/>
  <c r="C78" i="2" s="1"/>
  <c r="N77" i="2"/>
  <c r="O77" i="2" s="1"/>
  <c r="L77" i="2"/>
  <c r="K77" i="2" s="1"/>
  <c r="G77" i="2"/>
  <c r="H77" i="2" s="1"/>
  <c r="E77" i="2"/>
  <c r="D77" i="2" s="1"/>
  <c r="A70" i="2"/>
  <c r="J64" i="2"/>
  <c r="K64" i="2" s="1"/>
  <c r="L64" i="2" s="1"/>
  <c r="M64" i="2" s="1"/>
  <c r="N64" i="2" s="1"/>
  <c r="I63" i="2"/>
  <c r="G63" i="2"/>
  <c r="F63" i="2"/>
  <c r="E63" i="2"/>
  <c r="I62" i="2"/>
  <c r="G62" i="2"/>
  <c r="F62" i="2"/>
  <c r="E62" i="2"/>
  <c r="I61" i="2"/>
  <c r="G61" i="2"/>
  <c r="F61" i="2"/>
  <c r="E61" i="2"/>
  <c r="I59" i="2"/>
  <c r="G59" i="2"/>
  <c r="F59" i="2"/>
  <c r="J52" i="2"/>
  <c r="J53" i="2" s="1"/>
  <c r="C52" i="2"/>
  <c r="C53" i="2" s="1"/>
  <c r="J50" i="2"/>
  <c r="J49" i="2" s="1"/>
  <c r="C50" i="2"/>
  <c r="C49" i="2" s="1"/>
  <c r="N48" i="2"/>
  <c r="O48" i="2" s="1"/>
  <c r="L48" i="2"/>
  <c r="K48" i="2" s="1"/>
  <c r="G48" i="2"/>
  <c r="H48" i="2" s="1"/>
  <c r="E48" i="2"/>
  <c r="D48" i="2" s="1"/>
  <c r="L40" i="2"/>
  <c r="E39" i="2"/>
  <c r="B36" i="2"/>
  <c r="L35" i="2"/>
  <c r="O34" i="2"/>
  <c r="L33" i="2"/>
  <c r="N27" i="2"/>
  <c r="N28" i="2" s="1"/>
  <c r="M27" i="2"/>
  <c r="M28" i="2" s="1"/>
  <c r="L27" i="2"/>
  <c r="L28" i="2" s="1"/>
  <c r="K27" i="2"/>
  <c r="K28" i="2" s="1"/>
  <c r="J27" i="2"/>
  <c r="J28" i="2" s="1"/>
  <c r="I21" i="2"/>
  <c r="G21" i="2"/>
  <c r="F21" i="2"/>
  <c r="E21" i="2"/>
  <c r="I10" i="2"/>
  <c r="I60" i="2" s="1"/>
  <c r="G10" i="2"/>
  <c r="G60" i="2" s="1"/>
  <c r="F10" i="2"/>
  <c r="F60" i="2" s="1"/>
  <c r="E10" i="2"/>
  <c r="E11" i="2" s="1"/>
  <c r="I8" i="2"/>
  <c r="G8" i="2"/>
  <c r="F8" i="2"/>
  <c r="H7" i="2"/>
  <c r="O3" i="2"/>
  <c r="M3" i="2"/>
  <c r="D23" i="3" l="1"/>
  <c r="K45" i="6"/>
  <c r="C23" i="3"/>
  <c r="C24" i="3" s="1"/>
  <c r="E23" i="3"/>
  <c r="D33" i="3"/>
  <c r="F11" i="2"/>
  <c r="G13" i="3"/>
  <c r="F13" i="2"/>
  <c r="F16" i="2" s="1"/>
  <c r="F17" i="2" s="1"/>
  <c r="K9" i="5"/>
  <c r="K38" i="5"/>
  <c r="K30" i="5"/>
  <c r="L24" i="5"/>
  <c r="L23" i="5" s="1"/>
  <c r="J16" i="4"/>
  <c r="L24" i="6"/>
  <c r="L23" i="6" s="1"/>
  <c r="L9" i="5"/>
  <c r="M10" i="5"/>
  <c r="M9" i="5" s="1"/>
  <c r="L39" i="6"/>
  <c r="L38" i="6" s="1"/>
  <c r="L9" i="4"/>
  <c r="L15" i="4" s="1"/>
  <c r="I22" i="4" s="1"/>
  <c r="L22" i="4" s="1"/>
  <c r="D21" i="4" s="1"/>
  <c r="D23" i="4" s="1"/>
  <c r="M46" i="6"/>
  <c r="M45" i="6" s="1"/>
  <c r="C31" i="3"/>
  <c r="D35" i="3"/>
  <c r="L17" i="5"/>
  <c r="D31" i="3"/>
  <c r="F18" i="2"/>
  <c r="F19" i="2" s="1"/>
  <c r="D24" i="3"/>
  <c r="I8" i="3"/>
  <c r="J15" i="2"/>
  <c r="J21" i="2" s="1"/>
  <c r="J9" i="2"/>
  <c r="I9" i="3" s="1"/>
  <c r="K7" i="2"/>
  <c r="J22" i="2"/>
  <c r="J8" i="2"/>
  <c r="J12" i="2"/>
  <c r="G19" i="3"/>
  <c r="M39" i="5"/>
  <c r="L38" i="5"/>
  <c r="M31" i="5"/>
  <c r="L30" i="5"/>
  <c r="G11" i="2"/>
  <c r="E13" i="2"/>
  <c r="C33" i="3"/>
  <c r="I11" i="2"/>
  <c r="H10" i="2"/>
  <c r="G13" i="2"/>
  <c r="E33" i="3"/>
  <c r="G33" i="3" s="1"/>
  <c r="G18" i="3" s="1"/>
  <c r="L32" i="6"/>
  <c r="E31" i="3"/>
  <c r="G31" i="3" s="1"/>
  <c r="G14" i="3" s="1"/>
  <c r="J15" i="4"/>
  <c r="L10" i="6"/>
  <c r="L17" i="6"/>
  <c r="C35" i="3"/>
  <c r="E60" i="2"/>
  <c r="E35" i="3"/>
  <c r="G35" i="3" s="1"/>
  <c r="G20" i="3" s="1"/>
  <c r="I13" i="2"/>
  <c r="C29" i="3"/>
  <c r="D29" i="3"/>
  <c r="E29" i="3"/>
  <c r="G29" i="3" s="1"/>
  <c r="G12" i="3" s="1"/>
  <c r="E26" i="3" l="1"/>
  <c r="E24" i="3"/>
  <c r="F14" i="2"/>
  <c r="D26" i="3"/>
  <c r="L16" i="4"/>
  <c r="M39" i="6"/>
  <c r="M38" i="6" s="1"/>
  <c r="N46" i="6"/>
  <c r="N45" i="6" s="1"/>
  <c r="M24" i="5"/>
  <c r="N24" i="5" s="1"/>
  <c r="N10" i="5"/>
  <c r="O10" i="5" s="1"/>
  <c r="O9" i="5" s="1"/>
  <c r="M24" i="6"/>
  <c r="N24" i="6" s="1"/>
  <c r="G15" i="3"/>
  <c r="L16" i="5"/>
  <c r="M17" i="5"/>
  <c r="G21" i="3"/>
  <c r="J10" i="2"/>
  <c r="J13" i="2" s="1"/>
  <c r="N31" i="5"/>
  <c r="M30" i="5"/>
  <c r="L31" i="6"/>
  <c r="M32" i="6"/>
  <c r="N39" i="5"/>
  <c r="M38" i="5"/>
  <c r="L16" i="6"/>
  <c r="M17" i="6"/>
  <c r="H13" i="2"/>
  <c r="G16" i="2"/>
  <c r="G14" i="2"/>
  <c r="M10" i="6"/>
  <c r="L9" i="6"/>
  <c r="I19" i="3"/>
  <c r="I20" i="3"/>
  <c r="I14" i="3"/>
  <c r="I12" i="3"/>
  <c r="I16" i="2"/>
  <c r="I14" i="2"/>
  <c r="K12" i="2"/>
  <c r="K15" i="2"/>
  <c r="K21" i="2" s="1"/>
  <c r="K9" i="2"/>
  <c r="J9" i="3" s="1"/>
  <c r="L7" i="2"/>
  <c r="K8" i="2"/>
  <c r="K22" i="2"/>
  <c r="J8" i="3"/>
  <c r="I13" i="3"/>
  <c r="I18" i="3"/>
  <c r="E14" i="2"/>
  <c r="E16" i="2"/>
  <c r="M23" i="5" l="1"/>
  <c r="O46" i="6"/>
  <c r="O45" i="6" s="1"/>
  <c r="J11" i="2"/>
  <c r="N9" i="5"/>
  <c r="N39" i="6"/>
  <c r="G23" i="3"/>
  <c r="G26" i="3" s="1"/>
  <c r="M23" i="6"/>
  <c r="I21" i="3"/>
  <c r="M16" i="5"/>
  <c r="N17" i="5"/>
  <c r="N23" i="5"/>
  <c r="O24" i="5"/>
  <c r="O23" i="5" s="1"/>
  <c r="K10" i="2"/>
  <c r="K11" i="2" s="1"/>
  <c r="O24" i="6"/>
  <c r="O23" i="6" s="1"/>
  <c r="N23" i="6"/>
  <c r="I18" i="2"/>
  <c r="I19" i="2" s="1"/>
  <c r="I17" i="2"/>
  <c r="N17" i="6"/>
  <c r="M16" i="6"/>
  <c r="N30" i="5"/>
  <c r="O31" i="5"/>
  <c r="O30" i="5" s="1"/>
  <c r="G18" i="2"/>
  <c r="G19" i="2" s="1"/>
  <c r="H16" i="2"/>
  <c r="G17" i="2"/>
  <c r="J14" i="3"/>
  <c r="J20" i="3"/>
  <c r="J12" i="3"/>
  <c r="J19" i="3"/>
  <c r="E18" i="2"/>
  <c r="E19" i="2" s="1"/>
  <c r="E17" i="2"/>
  <c r="L15" i="2"/>
  <c r="L21" i="2" s="1"/>
  <c r="L12" i="2"/>
  <c r="L22" i="2"/>
  <c r="L9" i="2"/>
  <c r="K9" i="3" s="1"/>
  <c r="K8" i="3"/>
  <c r="L8" i="2"/>
  <c r="M7" i="2"/>
  <c r="N10" i="6"/>
  <c r="M9" i="6"/>
  <c r="I15" i="3"/>
  <c r="O39" i="5"/>
  <c r="O38" i="5" s="1"/>
  <c r="N38" i="5"/>
  <c r="M31" i="6"/>
  <c r="N32" i="6"/>
  <c r="J13" i="3"/>
  <c r="J18" i="3"/>
  <c r="N38" i="6"/>
  <c r="O39" i="6"/>
  <c r="O38" i="6" s="1"/>
  <c r="J16" i="2"/>
  <c r="J14" i="2"/>
  <c r="G24" i="3" l="1"/>
  <c r="I23" i="3"/>
  <c r="J21" i="3"/>
  <c r="K13" i="2"/>
  <c r="H19" i="2"/>
  <c r="N16" i="5"/>
  <c r="O17" i="5"/>
  <c r="O16" i="5" s="1"/>
  <c r="K13" i="3"/>
  <c r="K18" i="3"/>
  <c r="I24" i="3"/>
  <c r="J65" i="2" s="1"/>
  <c r="M12" i="2"/>
  <c r="M9" i="2"/>
  <c r="L9" i="3" s="1"/>
  <c r="N7" i="2"/>
  <c r="M22" i="2"/>
  <c r="M8" i="2"/>
  <c r="L8" i="3"/>
  <c r="M15" i="2"/>
  <c r="M21" i="2" s="1"/>
  <c r="J17" i="2"/>
  <c r="J18" i="2"/>
  <c r="J19" i="2" s="1"/>
  <c r="I26" i="3"/>
  <c r="J23" i="2" s="1"/>
  <c r="O17" i="6"/>
  <c r="O16" i="6" s="1"/>
  <c r="N16" i="6"/>
  <c r="N31" i="6"/>
  <c r="O32" i="6"/>
  <c r="O31" i="6" s="1"/>
  <c r="J15" i="3"/>
  <c r="K20" i="3"/>
  <c r="K12" i="3"/>
  <c r="K14" i="3"/>
  <c r="K19" i="3"/>
  <c r="O10" i="6"/>
  <c r="O9" i="6" s="1"/>
  <c r="N9" i="6"/>
  <c r="K16" i="2"/>
  <c r="K14" i="2"/>
  <c r="L10" i="2"/>
  <c r="J23" i="3" l="1"/>
  <c r="J24" i="3" s="1"/>
  <c r="K65" i="2" s="1"/>
  <c r="M10" i="2"/>
  <c r="M11" i="2" s="1"/>
  <c r="J25" i="2"/>
  <c r="J29" i="2" s="1"/>
  <c r="K15" i="3"/>
  <c r="L13" i="2"/>
  <c r="L11" i="2"/>
  <c r="N9" i="2"/>
  <c r="M9" i="3" s="1"/>
  <c r="O7" i="2"/>
  <c r="N22" i="2"/>
  <c r="N8" i="2"/>
  <c r="M8" i="3"/>
  <c r="N15" i="2"/>
  <c r="N21" i="2" s="1"/>
  <c r="N12" i="2"/>
  <c r="L13" i="3"/>
  <c r="L18" i="3"/>
  <c r="K17" i="2"/>
  <c r="K18" i="2"/>
  <c r="K19" i="2" s="1"/>
  <c r="L20" i="3"/>
  <c r="L14" i="3"/>
  <c r="L12" i="3"/>
  <c r="L19" i="3"/>
  <c r="K21" i="3"/>
  <c r="N10" i="2" l="1"/>
  <c r="J26" i="3"/>
  <c r="K23" i="2" s="1"/>
  <c r="K25" i="2" s="1"/>
  <c r="K29" i="2" s="1"/>
  <c r="M13" i="2"/>
  <c r="L15" i="3"/>
  <c r="K23" i="3"/>
  <c r="K24" i="3" s="1"/>
  <c r="L65" i="2" s="1"/>
  <c r="M16" i="2"/>
  <c r="M14" i="2"/>
  <c r="M19" i="3"/>
  <c r="M20" i="3"/>
  <c r="M14" i="3"/>
  <c r="M12" i="3"/>
  <c r="L21" i="3"/>
  <c r="L16" i="2"/>
  <c r="L14" i="2"/>
  <c r="N13" i="2"/>
  <c r="O10" i="2"/>
  <c r="N11" i="2"/>
  <c r="M18" i="3"/>
  <c r="M13" i="3"/>
  <c r="K26" i="3" l="1"/>
  <c r="L23" i="2" s="1"/>
  <c r="L23" i="3"/>
  <c r="L24" i="3" s="1"/>
  <c r="M65" i="2" s="1"/>
  <c r="M15" i="3"/>
  <c r="M17" i="2"/>
  <c r="M18" i="2"/>
  <c r="M19" i="2" s="1"/>
  <c r="M21" i="3"/>
  <c r="N16" i="2"/>
  <c r="O13" i="2"/>
  <c r="N14" i="2"/>
  <c r="E36" i="2"/>
  <c r="E38" i="2" s="1"/>
  <c r="L17" i="2"/>
  <c r="L18" i="2"/>
  <c r="L19" i="2" s="1"/>
  <c r="L25" i="2" s="1"/>
  <c r="L29" i="2" s="1"/>
  <c r="L26" i="3" l="1"/>
  <c r="M23" i="2" s="1"/>
  <c r="M23" i="3"/>
  <c r="M24" i="3" s="1"/>
  <c r="N65" i="2" s="1"/>
  <c r="M25" i="2"/>
  <c r="M29" i="2" s="1"/>
  <c r="O16" i="2"/>
  <c r="N17" i="2"/>
  <c r="N18" i="2"/>
  <c r="N19" i="2" s="1"/>
  <c r="E40" i="2"/>
  <c r="O35" i="2"/>
  <c r="M26" i="3" l="1"/>
  <c r="N23" i="2" s="1"/>
  <c r="N25" i="2" s="1"/>
  <c r="O19" i="2"/>
  <c r="O33" i="2" l="1"/>
  <c r="N29" i="2"/>
  <c r="E33" i="2" s="1"/>
  <c r="E43" i="2" s="1"/>
  <c r="O37" i="2"/>
  <c r="J48" i="2" l="1"/>
  <c r="C97" i="2"/>
  <c r="O40" i="2"/>
  <c r="O43" i="2" s="1"/>
  <c r="J97" i="2" s="1"/>
  <c r="J33" i="2"/>
  <c r="C77" i="2"/>
  <c r="C48" i="2"/>
  <c r="E41" i="2"/>
  <c r="J87" i="2" s="1"/>
  <c r="J39" i="2" l="1"/>
  <c r="F109" i="2"/>
  <c r="F114" i="2" s="1"/>
  <c r="F133" i="2" s="1"/>
  <c r="E121" i="2" l="1"/>
  <c r="F121" i="2" s="1"/>
  <c r="E120" i="2"/>
  <c r="F120" i="2" s="1"/>
  <c r="E119" i="2"/>
  <c r="E123" i="2"/>
  <c r="F123" i="2" s="1"/>
  <c r="E122" i="2"/>
  <c r="F122" i="2" s="1"/>
  <c r="J77" i="2"/>
  <c r="J43" i="2"/>
  <c r="C87" i="2" s="1"/>
  <c r="F119" i="2" l="1"/>
  <c r="F124" i="2" s="1"/>
  <c r="E124" i="2"/>
</calcChain>
</file>

<file path=xl/sharedStrings.xml><?xml version="1.0" encoding="utf-8"?>
<sst xmlns="http://schemas.openxmlformats.org/spreadsheetml/2006/main" count="351" uniqueCount="228">
  <si>
    <t>Line item</t>
  </si>
  <si>
    <t>Method / context</t>
  </si>
  <si>
    <t>Output</t>
  </si>
  <si>
    <t>Assumptions and result</t>
  </si>
  <si>
    <t>Company</t>
  </si>
  <si>
    <t>FPT Corporation (FPT)</t>
  </si>
  <si>
    <t>Technology &amp; IT services</t>
  </si>
  <si>
    <t>Current price</t>
  </si>
  <si>
    <t>Market input</t>
  </si>
  <si>
    <t>VND 74.2k/share</t>
  </si>
  <si>
    <t>DCF output</t>
  </si>
  <si>
    <t>Important note</t>
  </si>
  <si>
    <t>Analytical use only</t>
  </si>
  <si>
    <t>Not investment advice</t>
  </si>
  <si>
    <t>ValueCo Corporation</t>
  </si>
  <si>
    <t>Discounted Cash Flow Analysis</t>
  </si>
  <si>
    <t>Công ty Cổ phần FPT (FPT) - DCF Analysis</t>
  </si>
  <si>
    <t>($ in millions, fiscal year ending December 31)</t>
  </si>
  <si>
    <t>(VND in millions, except per share data)</t>
  </si>
  <si>
    <t xml:space="preserve">Operating Scenario </t>
  </si>
  <si>
    <t>Mid-Year Convention</t>
  </si>
  <si>
    <t>Y</t>
  </si>
  <si>
    <t>Historical Period</t>
  </si>
  <si>
    <t>CAGR</t>
  </si>
  <si>
    <t>Projection Period</t>
  </si>
  <si>
    <t>2023</t>
  </si>
  <si>
    <t>2024</t>
  </si>
  <si>
    <t>2025</t>
  </si>
  <si>
    <t>('23 - '25)</t>
  </si>
  <si>
    <t>2026</t>
  </si>
  <si>
    <t>2027</t>
  </si>
  <si>
    <t>2028</t>
  </si>
  <si>
    <t>2029</t>
  </si>
  <si>
    <t>2030</t>
  </si>
  <si>
    <t>('25 - '30E)</t>
  </si>
  <si>
    <t>Sales</t>
  </si>
  <si>
    <t xml:space="preserve">   % growth</t>
  </si>
  <si>
    <t>NA</t>
  </si>
  <si>
    <t xml:space="preserve">COGS </t>
  </si>
  <si>
    <t>Gross Profit</t>
  </si>
  <si>
    <t xml:space="preserve">   % margin</t>
  </si>
  <si>
    <t>SG&amp;A</t>
  </si>
  <si>
    <t>EBITDA</t>
  </si>
  <si>
    <t>Depreciation &amp; Amortization</t>
  </si>
  <si>
    <t>EBIT</t>
  </si>
  <si>
    <t>Taxes</t>
  </si>
  <si>
    <t>EBIAT</t>
  </si>
  <si>
    <t>Plus: Depreciation &amp; Amortization</t>
  </si>
  <si>
    <t>Less: Capital Expenditures</t>
  </si>
  <si>
    <t>Less: Increase in Net Working Capital</t>
  </si>
  <si>
    <t>Unlevered Free Cash Flow</t>
  </si>
  <si>
    <t xml:space="preserve">   WACC</t>
  </si>
  <si>
    <t xml:space="preserve">   Discount Period</t>
  </si>
  <si>
    <t xml:space="preserve">   Discount Factor</t>
  </si>
  <si>
    <t xml:space="preserve">   Present Value of Free Cash Flow</t>
  </si>
  <si>
    <t>Enterprise Value</t>
  </si>
  <si>
    <t>Implied Equity Value and Share Price</t>
  </si>
  <si>
    <t>Implied Perpetuity Growth Rate</t>
  </si>
  <si>
    <t>Cumulative Present Value of FCF</t>
  </si>
  <si>
    <t>Less: Total Debt</t>
  </si>
  <si>
    <t>WACC</t>
  </si>
  <si>
    <t>Terminal Value</t>
  </si>
  <si>
    <t>Less: Preferred Securities</t>
  </si>
  <si>
    <t>Less: Noncontrolling Interest</t>
  </si>
  <si>
    <t>Exit Multiple</t>
  </si>
  <si>
    <t>Plus: Cash and Cash Equivalents</t>
  </si>
  <si>
    <t xml:space="preserve">   Terminal Value</t>
  </si>
  <si>
    <t xml:space="preserve"> </t>
  </si>
  <si>
    <t>Discount Factor</t>
  </si>
  <si>
    <t xml:space="preserve">   Implied Equity Value</t>
  </si>
  <si>
    <t>Implied EV/EBITDA</t>
  </si>
  <si>
    <t xml:space="preserve">   Present Value of Terminal Value</t>
  </si>
  <si>
    <t xml:space="preserve">   % of Enterprise Value</t>
  </si>
  <si>
    <t xml:space="preserve">   Implied Share Price</t>
  </si>
  <si>
    <t>LTM 9/30/2008 EBITDA</t>
  </si>
  <si>
    <t xml:space="preserve">   Enterprise Value</t>
  </si>
  <si>
    <t>Assumptions</t>
  </si>
  <si>
    <t>Sales (% growth)</t>
  </si>
  <si>
    <t>COGS (% sales)</t>
  </si>
  <si>
    <t>SG&amp;A (% sales)</t>
  </si>
  <si>
    <t>Depreciation &amp; Amortization (% sales)</t>
  </si>
  <si>
    <t>Capital Expenditures (% sales)</t>
  </si>
  <si>
    <t>Tax Rate</t>
  </si>
  <si>
    <t>Working Capital (% sales)</t>
  </si>
  <si>
    <t>Sensitivity Analysis</t>
  </si>
  <si>
    <t>($ in millions)</t>
  </si>
  <si>
    <t>Implied Equity Value</t>
  </si>
  <si>
    <t>Implied Share Price</t>
  </si>
  <si>
    <t>PV of Terminal Value as % of Enterprise Value</t>
  </si>
  <si>
    <t>Implied Enterprise Value / LTM EBITDA</t>
  </si>
  <si>
    <t>Calculation of Implied Share Price</t>
  </si>
  <si>
    <t>Options/Warrants</t>
  </si>
  <si>
    <t>Number of</t>
  </si>
  <si>
    <t>Exercise</t>
  </si>
  <si>
    <t>In-the-Money</t>
  </si>
  <si>
    <t>Tranche</t>
  </si>
  <si>
    <t>Shares</t>
  </si>
  <si>
    <t>Price</t>
  </si>
  <si>
    <t>Proceeds</t>
  </si>
  <si>
    <t>Options 1</t>
  </si>
  <si>
    <t>Options 2</t>
  </si>
  <si>
    <t>Options 3</t>
  </si>
  <si>
    <t>Options 4</t>
  </si>
  <si>
    <t>Options 5</t>
  </si>
  <si>
    <t xml:space="preserve">   Total</t>
  </si>
  <si>
    <t>Basic Shares Outstanding</t>
  </si>
  <si>
    <t>Plus: Shares from In-the-Money Options</t>
  </si>
  <si>
    <t>Less: Shares Repurchased</t>
  </si>
  <si>
    <t xml:space="preserve">   Net New Shares from Options</t>
  </si>
  <si>
    <t>Plus: Shares from Convertible Securities</t>
  </si>
  <si>
    <t xml:space="preserve">   Fully Diluted Shares Outstanding</t>
  </si>
  <si>
    <t>Working Capital Projections</t>
  </si>
  <si>
    <t>FPT Net Working Capital</t>
  </si>
  <si>
    <t>Cost of Goods Sold</t>
  </si>
  <si>
    <t>Current Assets</t>
  </si>
  <si>
    <t>Accounts Receivable</t>
  </si>
  <si>
    <t>Inventories</t>
  </si>
  <si>
    <t>Prepaid Expenses and Other</t>
  </si>
  <si>
    <t xml:space="preserve">   Total Current Assets</t>
  </si>
  <si>
    <t>Current Liabilities</t>
  </si>
  <si>
    <t>Accounts Payable</t>
  </si>
  <si>
    <t>Accrued Liabilities</t>
  </si>
  <si>
    <t>Other Current Liabilities</t>
  </si>
  <si>
    <t xml:space="preserve">   Total Current Liabilities</t>
  </si>
  <si>
    <t xml:space="preserve">   Net Working Capital</t>
  </si>
  <si>
    <t xml:space="preserve">   % sales</t>
  </si>
  <si>
    <t xml:space="preserve">   (Increase) / Decrease in NWC</t>
  </si>
  <si>
    <t>Days Sales Outstanding</t>
  </si>
  <si>
    <t>Days Inventory Held</t>
  </si>
  <si>
    <t>Prepaids and Other CA (% of sales)</t>
  </si>
  <si>
    <t>Days Payable Outstanding</t>
  </si>
  <si>
    <t>Accrued Liabilities (% of sales)</t>
  </si>
  <si>
    <t>Other Current Liabilities (% of sales)</t>
  </si>
  <si>
    <t>Weighted Average Cost of Capital Analysis</t>
  </si>
  <si>
    <t>FPT WACC Calculation</t>
  </si>
  <si>
    <t>WACC Calculation</t>
  </si>
  <si>
    <t>Comparable Companies Unlevered Beta</t>
  </si>
  <si>
    <t>Target Capital Structure</t>
  </si>
  <si>
    <t>Predicted</t>
  </si>
  <si>
    <t xml:space="preserve">Market </t>
  </si>
  <si>
    <t>Debt/</t>
  </si>
  <si>
    <t>Marginal</t>
  </si>
  <si>
    <t>Unlevered</t>
  </si>
  <si>
    <t>Debt-to-Total Capitalization</t>
  </si>
  <si>
    <t>Levered Beta(4)</t>
  </si>
  <si>
    <t>Value of Debt</t>
  </si>
  <si>
    <t>Value of Equity</t>
  </si>
  <si>
    <t>Equity</t>
  </si>
  <si>
    <t>Beta</t>
  </si>
  <si>
    <t>Equity-to-Total Capitalization</t>
  </si>
  <si>
    <t>CompCo1</t>
  </si>
  <si>
    <t>CompCo2</t>
  </si>
  <si>
    <t>CompCo3</t>
  </si>
  <si>
    <t>Cost of Debt</t>
  </si>
  <si>
    <t>CompCo4</t>
  </si>
  <si>
    <t>CompCo5</t>
  </si>
  <si>
    <t xml:space="preserve">   After-tax Cost of Debt</t>
  </si>
  <si>
    <t xml:space="preserve">Mean </t>
  </si>
  <si>
    <t>Median</t>
  </si>
  <si>
    <t>Cost of Equity</t>
  </si>
  <si>
    <t>ValueCo Relevered Beta</t>
  </si>
  <si>
    <t>Risk-free Rate(1)</t>
  </si>
  <si>
    <t>Mean</t>
  </si>
  <si>
    <t>Target</t>
  </si>
  <si>
    <t>Market Risk Premium(2)</t>
  </si>
  <si>
    <t>Relevered</t>
  </si>
  <si>
    <t>Levered Beta</t>
  </si>
  <si>
    <t>Size Premium(3)</t>
  </si>
  <si>
    <t>Relevered Beta</t>
  </si>
  <si>
    <t xml:space="preserve">   Cost of Equity</t>
  </si>
  <si>
    <t>WACC Sensitivity Analysis</t>
  </si>
  <si>
    <t>Pre-tax Cost of Debt</t>
  </si>
  <si>
    <t>(1) Interpolated yield on 20-year U.S. Treasury</t>
  </si>
  <si>
    <t>(2) Obtained from Ibbotson SBBI Valuation Yearbook</t>
  </si>
  <si>
    <t>(3) Low-Cap Decile size premium based on market capitalization, per Ibbotson</t>
  </si>
  <si>
    <t>(4) Sourced from Barra</t>
  </si>
  <si>
    <t>`</t>
  </si>
  <si>
    <t>Assumptions Page 1 - Income Statement and Cash Flow Statement</t>
  </si>
  <si>
    <t>2014</t>
  </si>
  <si>
    <t>2015</t>
  </si>
  <si>
    <t>2016</t>
  </si>
  <si>
    <t>2017</t>
  </si>
  <si>
    <t>2018</t>
  </si>
  <si>
    <t>Income Statement Assumptions</t>
  </si>
  <si>
    <t xml:space="preserve">   Base</t>
  </si>
  <si>
    <t xml:space="preserve">   Management </t>
  </si>
  <si>
    <t xml:space="preserve">   Upside</t>
  </si>
  <si>
    <t xml:space="preserve">   Downside 1</t>
  </si>
  <si>
    <t xml:space="preserve">   Downside 2</t>
  </si>
  <si>
    <t>Cost of Goods Sold (% sales)</t>
  </si>
  <si>
    <t>Cash Flow Statement Assumptions</t>
  </si>
  <si>
    <t>Capital Expenditures (% of sales)</t>
  </si>
  <si>
    <t>Assumptions Page 2 - Balance Sheet</t>
  </si>
  <si>
    <t>Days Sales Outstanding (DSO)</t>
  </si>
  <si>
    <t>Days Inventory Held (DIH)</t>
  </si>
  <si>
    <t>Prepaid and Other Current Assets (% of sales)</t>
  </si>
  <si>
    <t>Days Payable Outstanding (DPO)</t>
  </si>
  <si>
    <t>Peer set / transaction set</t>
  </si>
  <si>
    <t>Listed peer companies and disclosed transaction comparables</t>
  </si>
  <si>
    <t>Comparable multiples, precedent premiums, and market-based valuation checks.</t>
  </si>
  <si>
    <t>Template</t>
  </si>
  <si>
    <t>SV- DCF Analysis_Template.xlsx; company filings; HoSE/SSI market data; analyst forecasts compiled June 2026.</t>
  </si>
  <si>
    <t>Original model tabs, formulas, and output structures retained from the selected valuation template.</t>
  </si>
  <si>
    <t>Analyst work</t>
  </si>
  <si>
    <t>NVTH valuation model, compiled June 2026</t>
  </si>
  <si>
    <t>Forecast assumptions, normalization choices, method weighting, and final summary interpretation.</t>
  </si>
  <si>
    <t>FPT DCF Valuation Summary</t>
  </si>
  <si>
    <t>FCFF DCF</t>
  </si>
  <si>
    <t>Key assumptions</t>
  </si>
  <si>
    <t>Sources and Calibration Notes</t>
  </si>
  <si>
    <t>Market price anchor</t>
  </si>
  <si>
    <t>Spot/current price input embedded in model workbook as of compilation date.</t>
  </si>
  <si>
    <t>Use limitation</t>
  </si>
  <si>
    <t>FCFF DCF captures the long-duration growth case that public multiples may not fully recognize.</t>
  </si>
  <si>
    <t>Spot input is used as a reasonableness anchor; DCF is allowed to sit above spot because growth duration matters.</t>
  </si>
  <si>
    <t>VND 83.2k/share</t>
  </si>
  <si>
    <t>WACC 10.5%, exit EV/EBITDA 8.5x, terminal value 74.4% of EV.</t>
  </si>
  <si>
    <t>Scenario role</t>
  </si>
  <si>
    <t>Intrinsic growth case</t>
  </si>
  <si>
    <t>Above comparable</t>
  </si>
  <si>
    <t>DCF is higher than comparable analysis because it gives more credit to sustained IT services, education, and telecom cash-flow growth.</t>
  </si>
  <si>
    <t>Growth with discipline</t>
  </si>
  <si>
    <t>Moderate upside</t>
  </si>
  <si>
    <t>Revenue growth tapers from 12.0% to 8.0%; terminal multiple is 8.5x, not the old stretched 14.0x case.</t>
  </si>
  <si>
    <t>Refresh growth, margins, WACC, terminal multiple, and current price before use.</t>
  </si>
  <si>
    <t>Scenario calibration</t>
  </si>
  <si>
    <t>FPT DCF calibrated as the growth-upside method: WACC remains 10.5%, terminal exit EV/EBITDA is 8.5x, creating a valuation above comparable but still near current market context.</t>
  </si>
  <si>
    <t>Analytical use only; refresh market data, financials, peer set, WACC, multiples, leverage, and transaction premiums before investment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</si>
</sst>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3" formatCode="_-* #,##0.00_-;\-* #,##0.00_-;_-* &quot;-&quot;??_-;_-@_-"/>
    <numFmt numFmtId="164" formatCode="0.0%"/>
    <numFmt numFmtId="165" formatCode="0000"/>
    <numFmt numFmtId="166" formatCode="yyyy&quot;A&quot;"/>
    <numFmt numFmtId="167" formatCode="* _(&quot;$&quot;##,##0.0_);[Red]* \(&quot;$&quot;##,##0.0\);* _(&quot;-&quot;?_);_(@_)"/>
    <numFmt numFmtId="168" formatCode="* _(#,##0.0%_);* \(#,##0.0%\);* _(&quot;-&quot;?_);_(@_)"/>
    <numFmt numFmtId="169" formatCode="_(* #,##0.0_);_(* \(#,##0.0\);_(* &quot;-&quot;?_);_(@_)"/>
    <numFmt numFmtId="170" formatCode="0&quot;E&quot;"/>
    <numFmt numFmtId="171" formatCode="General&quot;E&quot;"/>
    <numFmt numFmtId="172" formatCode="&quot;$&quot;#,##0.0_);\(&quot;$&quot;#,##0.0\)"/>
    <numFmt numFmtId="173" formatCode="* _(0&quot;E&quot;_);* \(0&quot;E&quot;\);* _(&quot;-&quot;?_);_(@_)"/>
    <numFmt numFmtId="174" formatCode="* _(##,##0.000_);* \(##,##0.000\);* _(&quot;-&quot;?_);_(@_)"/>
    <numFmt numFmtId="175" formatCode="* _(#,##0.00_);* \(#,##0.00\);* _(&quot;-&quot;?_);_(@_)"/>
    <numFmt numFmtId="176" formatCode="&quot;$&quot;#,##0.0_);[Red]\(&quot;$&quot;#,##0.0\)"/>
    <numFmt numFmtId="177" formatCode="* _(##,##0.0_);[Red]* \(##,##0.0\);* _(&quot;-&quot;?_);_(@_)"/>
    <numFmt numFmtId="178" formatCode="_(* #,##0.0%;_(* \(#,##0.0%\);_(* &quot;- %&quot;_);_(* @_%_)"/>
    <numFmt numFmtId="179" formatCode="_(* #,##0.00_);_(* \(#,##0.00\);_(* &quot;-&quot;?_);_(@_)"/>
    <numFmt numFmtId="180" formatCode="&quot;$&quot;#,##0.00"/>
    <numFmt numFmtId="181" formatCode="0.0\x"/>
    <numFmt numFmtId="182" formatCode="#,##0.0_);[Red]\(#,##0.0\)"/>
    <numFmt numFmtId="183" formatCode="&quot;$&quot;#,##0_);[Red]\(&quot;$&quot;#,##0\)"/>
    <numFmt numFmtId="184" formatCode="_(* #,##0.0\x;_(* \(#,##0.0\x\);_(* &quot;- x&quot;_);_(* @_%_)"/>
    <numFmt numFmtId="185" formatCode="* _(&quot;$&quot;##,##0.00_);[Red]* \(&quot;$&quot;##,##0.00\);* _(&quot;-&quot;?_);_(@_)"/>
    <numFmt numFmtId="186" formatCode="_(&quot;$&quot;* #,##0.0_);_(&quot;$&quot;* \(#,##0.0\);_(&quot;$&quot;* &quot;-&quot;?_);_(@_)"/>
    <numFmt numFmtId="187" formatCode="_(* #,##0.0%_);_(* \(#,##0.0%\);_(* &quot;--- %&quot;_);_(* @_%_)"/>
    <numFmt numFmtId="188" formatCode="_(* #,##0.0%_);_(* \(#,##0.0%\);_(* &quot;- %&quot;_);_(* @_%_)"/>
    <numFmt numFmtId="189" formatCode="&quot;$&quot;#,##0.00_);[Red]\(&quot;$&quot;#,##0.00\)"/>
    <numFmt numFmtId="190" formatCode="* _(&quot;$&quot;#,##0.00_);* \(&quot;$&quot;#,##0.00\);* _(&quot;-&quot;?_);_(@_)"/>
    <numFmt numFmtId="191" formatCode="_(* #,##0.000_);_(* \(#,##0.000\);_(* &quot;-&quot;?_);_(@_)"/>
    <numFmt numFmtId="192" formatCode="* _(##,##0.00_);[Red]* \(##,##0.00\);* _(&quot;-&quot;?_);_(@_)"/>
    <numFmt numFmtId="193" formatCode="#,##0.00;\(#,##0.00\);_(* &quot;-&quot;_)"/>
    <numFmt numFmtId="194" formatCode="_(* #,##0.00%;_(* \(#,##0.00%\);_(* &quot;- %&quot;_);_(* @_%_)"/>
    <numFmt numFmtId="195" formatCode="0.00_);[Red]\(0.00\)"/>
    <numFmt numFmtId="196" formatCode="&quot;Year&quot;\ 0"/>
  </numFmts>
  <fonts count="72" x14ac:knownFonts="1">
    <font>
      <sz val="10"/>
      <color rgb="FF000000"/>
      <name val="Arial"/>
      <scheme val="minor"/>
    </font>
    <font>
      <b/>
      <sz val="20"/>
      <color rgb="FFFFFFFF"/>
      <name val="Arial"/>
      <family val="2"/>
      <charset val="163"/>
    </font>
    <font>
      <sz val="20"/>
      <color rgb="FFFFFFFF"/>
      <name val="Arial"/>
      <family val="2"/>
      <charset val="163"/>
    </font>
    <font>
      <sz val="9"/>
      <color rgb="FFFFFFFF"/>
      <name val="Arial"/>
      <family val="2"/>
      <charset val="163"/>
    </font>
    <font>
      <sz val="10"/>
      <color rgb="FF000000"/>
      <name val="Arial"/>
      <family val="2"/>
      <charset val="163"/>
    </font>
    <font>
      <sz val="9"/>
      <color rgb="FF000000"/>
      <name val="Arial"/>
      <family val="2"/>
      <charset val="163"/>
    </font>
    <font>
      <b/>
      <sz val="14"/>
      <color rgb="FFFFFFFF"/>
      <name val="Arial"/>
      <family val="2"/>
      <charset val="163"/>
    </font>
    <font>
      <i/>
      <sz val="10"/>
      <color rgb="FFFFFFFF"/>
      <name val="Arial"/>
      <family val="2"/>
      <charset val="163"/>
    </font>
    <font>
      <b/>
      <sz val="10"/>
      <color rgb="FFFFFFFF"/>
      <name val="Arial"/>
      <family val="2"/>
      <charset val="163"/>
    </font>
    <font>
      <b/>
      <sz val="10"/>
      <color theme="1"/>
      <name val="Arial"/>
      <family val="2"/>
      <charset val="163"/>
    </font>
    <font>
      <sz val="10"/>
      <color theme="1"/>
      <name val="Arial"/>
      <family val="2"/>
      <charset val="163"/>
    </font>
    <font>
      <b/>
      <sz val="10"/>
      <color rgb="FF0000FF"/>
      <name val="Arial"/>
      <family val="2"/>
      <charset val="163"/>
    </font>
    <font>
      <b/>
      <sz val="10"/>
      <color rgb="FF000000"/>
      <name val="Arial"/>
      <family val="2"/>
      <charset val="163"/>
    </font>
    <font>
      <b/>
      <u/>
      <sz val="10"/>
      <color rgb="FFFFFFFF"/>
      <name val="Arial"/>
      <family val="2"/>
      <charset val="163"/>
    </font>
    <font>
      <b/>
      <i/>
      <sz val="10"/>
      <color theme="1"/>
      <name val="Arial"/>
      <family val="2"/>
      <charset val="163"/>
    </font>
    <font>
      <b/>
      <u/>
      <sz val="10"/>
      <color rgb="FF0000FF"/>
      <name val="Arial"/>
      <family val="2"/>
      <charset val="163"/>
    </font>
    <font>
      <b/>
      <u/>
      <sz val="10"/>
      <color rgb="FF0000FF"/>
      <name val="Arial"/>
      <family val="2"/>
      <charset val="163"/>
    </font>
    <font>
      <b/>
      <u/>
      <sz val="10"/>
      <color theme="1"/>
      <name val="Arial"/>
      <family val="2"/>
      <charset val="163"/>
    </font>
    <font>
      <i/>
      <sz val="10"/>
      <color theme="1"/>
      <name val="Arial"/>
      <family val="2"/>
      <charset val="163"/>
    </font>
    <font>
      <i/>
      <sz val="10"/>
      <color rgb="FF0000FF"/>
      <name val="Arial"/>
      <family val="2"/>
      <charset val="163"/>
    </font>
    <font>
      <u/>
      <sz val="10"/>
      <color rgb="FF0000FF"/>
      <name val="Arial"/>
      <family val="2"/>
      <charset val="163"/>
    </font>
    <font>
      <u/>
      <sz val="10"/>
      <color theme="1"/>
      <name val="Arial"/>
      <family val="2"/>
      <charset val="163"/>
    </font>
    <font>
      <u/>
      <sz val="10"/>
      <color rgb="FF000000"/>
      <name val="Arial"/>
      <family val="2"/>
      <charset val="163"/>
    </font>
    <font>
      <b/>
      <u/>
      <sz val="10"/>
      <color theme="1"/>
      <name val="Arial"/>
      <family val="2"/>
      <charset val="163"/>
    </font>
    <font>
      <u/>
      <sz val="10"/>
      <color theme="1"/>
      <name val="Arial"/>
      <family val="2"/>
      <charset val="163"/>
    </font>
    <font>
      <sz val="10"/>
      <color rgb="FFFF0000"/>
      <name val="Arial"/>
      <family val="2"/>
      <charset val="163"/>
    </font>
    <font>
      <u/>
      <sz val="10"/>
      <color rgb="FFFF0000"/>
      <name val="Arial"/>
      <family val="2"/>
      <charset val="163"/>
    </font>
    <font>
      <u/>
      <sz val="10"/>
      <color rgb="FF000000"/>
      <name val="Arial"/>
      <family val="2"/>
      <charset val="163"/>
    </font>
    <font>
      <sz val="10"/>
      <color rgb="FF0000FF"/>
      <name val="Arial"/>
      <family val="2"/>
      <charset val="163"/>
    </font>
    <font>
      <u/>
      <sz val="10"/>
      <color theme="1"/>
      <name val="Arial"/>
      <family val="2"/>
      <charset val="163"/>
    </font>
    <font>
      <b/>
      <i/>
      <sz val="10"/>
      <color rgb="FF000000"/>
      <name val="Arial"/>
      <family val="2"/>
      <charset val="163"/>
    </font>
    <font>
      <b/>
      <u/>
      <sz val="10"/>
      <color rgb="FFFFFFFF"/>
      <name val="Arial"/>
      <family val="2"/>
      <charset val="163"/>
    </font>
    <font>
      <u/>
      <sz val="10"/>
      <color rgb="FFFFFFFF"/>
      <name val="Arial"/>
      <family val="2"/>
      <charset val="163"/>
    </font>
    <font>
      <u/>
      <sz val="10"/>
      <color rgb="FFFFFFFF"/>
      <name val="Arial"/>
      <family val="2"/>
      <charset val="163"/>
    </font>
    <font>
      <b/>
      <u/>
      <sz val="10"/>
      <color theme="1"/>
      <name val="Arial"/>
      <family val="2"/>
      <charset val="163"/>
    </font>
    <font>
      <sz val="10"/>
      <color rgb="FFFFCC00"/>
      <name val="Arial"/>
      <family val="2"/>
      <charset val="163"/>
    </font>
    <font>
      <i/>
      <sz val="10"/>
      <color rgb="FF000000"/>
      <name val="Arial"/>
      <family val="2"/>
      <charset val="163"/>
    </font>
    <font>
      <b/>
      <u/>
      <sz val="10"/>
      <color theme="1"/>
      <name val="Arial"/>
      <family val="2"/>
      <charset val="163"/>
    </font>
    <font>
      <sz val="10"/>
      <color rgb="FFFFFFFF"/>
      <name val="Arial"/>
      <family val="2"/>
      <charset val="163"/>
    </font>
    <font>
      <u/>
      <sz val="10"/>
      <color rgb="FF000000"/>
      <name val="Arial"/>
      <family val="2"/>
      <charset val="163"/>
    </font>
    <font>
      <u/>
      <sz val="10"/>
      <color rgb="FF000000"/>
      <name val="Arial"/>
      <family val="2"/>
      <charset val="163"/>
    </font>
    <font>
      <b/>
      <u/>
      <sz val="10"/>
      <color rgb="FFFFFFFF"/>
      <name val="Arial"/>
      <family val="2"/>
      <charset val="163"/>
    </font>
    <font>
      <b/>
      <sz val="16"/>
      <color rgb="FFFFFFFF"/>
      <name val="Arial"/>
      <family val="2"/>
      <charset val="163"/>
    </font>
    <font>
      <b/>
      <u/>
      <sz val="10"/>
      <color rgb="FFFFFFFF"/>
      <name val="Arial"/>
      <family val="2"/>
      <charset val="163"/>
    </font>
    <font>
      <u/>
      <sz val="10"/>
      <color theme="1"/>
      <name val="Arial"/>
      <family val="2"/>
      <charset val="163"/>
    </font>
    <font>
      <b/>
      <u/>
      <sz val="10"/>
      <color theme="1"/>
      <name val="Arial"/>
      <family val="2"/>
      <charset val="163"/>
    </font>
    <font>
      <b/>
      <u/>
      <sz val="10"/>
      <color theme="1"/>
      <name val="Arial"/>
      <family val="2"/>
      <charset val="163"/>
    </font>
    <font>
      <u/>
      <sz val="10"/>
      <color rgb="FF0000FF"/>
      <name val="Arial"/>
      <family val="2"/>
      <charset val="163"/>
    </font>
    <font>
      <u/>
      <sz val="10"/>
      <color rgb="FF0000FF"/>
      <name val="Arial"/>
      <family val="2"/>
      <charset val="163"/>
    </font>
    <font>
      <u/>
      <sz val="10"/>
      <color theme="1"/>
      <name val="Arial"/>
      <family val="2"/>
      <charset val="163"/>
    </font>
    <font>
      <u/>
      <sz val="10"/>
      <color theme="1"/>
      <name val="Arial"/>
      <family val="2"/>
      <charset val="163"/>
    </font>
    <font>
      <u/>
      <sz val="10"/>
      <color theme="1"/>
      <name val="Arial"/>
      <family val="2"/>
      <charset val="163"/>
    </font>
    <font>
      <b/>
      <sz val="9"/>
      <color rgb="FF000000"/>
      <name val="Arial"/>
      <family val="2"/>
      <charset val="163"/>
    </font>
    <font>
      <u/>
      <sz val="10"/>
      <color theme="1"/>
      <name val="Arial"/>
      <family val="2"/>
      <charset val="163"/>
    </font>
    <font>
      <b/>
      <u/>
      <sz val="10"/>
      <color theme="1"/>
      <name val="Arial"/>
      <family val="2"/>
      <charset val="163"/>
    </font>
    <font>
      <b/>
      <sz val="12"/>
      <color rgb="FFFFFFFF"/>
      <name val="Arial"/>
      <family val="2"/>
      <charset val="163"/>
    </font>
    <font>
      <b/>
      <u/>
      <sz val="10"/>
      <color theme="1"/>
      <name val="Arial"/>
      <family val="2"/>
      <charset val="163"/>
    </font>
    <font>
      <b/>
      <u/>
      <sz val="10"/>
      <color theme="1"/>
      <name val="Arial"/>
      <family val="2"/>
      <charset val="163"/>
    </font>
    <font>
      <b/>
      <u/>
      <sz val="10"/>
      <color theme="1"/>
      <name val="Arial"/>
      <family val="2"/>
      <charset val="163"/>
    </font>
    <font>
      <b/>
      <i/>
      <u/>
      <sz val="10"/>
      <color rgb="FF000000"/>
      <name val="Arial"/>
      <family val="2"/>
      <charset val="163"/>
    </font>
    <font>
      <u/>
      <sz val="10"/>
      <color rgb="FF0000FF"/>
      <name val="Arial"/>
      <family val="2"/>
      <charset val="163"/>
    </font>
    <font>
      <u/>
      <sz val="10"/>
      <color theme="1"/>
      <name val="Arial"/>
      <family val="2"/>
      <charset val="163"/>
    </font>
    <font>
      <u/>
      <sz val="10"/>
      <color theme="1"/>
      <name val="Arial"/>
      <family val="2"/>
      <charset val="163"/>
    </font>
    <font>
      <b/>
      <u/>
      <sz val="10"/>
      <color rgb="FF000000"/>
      <name val="Arial"/>
      <family val="2"/>
      <charset val="163"/>
    </font>
    <font>
      <b/>
      <u/>
      <sz val="10"/>
      <color rgb="FF000000"/>
      <name val="Arial"/>
      <family val="2"/>
      <charset val="163"/>
    </font>
    <font>
      <b/>
      <u/>
      <sz val="12"/>
      <color rgb="FFFFFFFF"/>
      <name val="Arial"/>
      <family val="2"/>
      <charset val="163"/>
    </font>
    <font>
      <sz val="10"/>
      <color rgb="FF0000FF"/>
      <name val="Arial"/>
      <family val="2"/>
      <charset val="163"/>
    </font>
    <font>
      <sz val="10"/>
      <color rgb="FF20242A"/>
      <name val="Aptos"/>
      <family val="2"/>
    </font>
    <font>
      <b/>
      <sz val="10"/>
      <color rgb="FF20242A"/>
      <name val="Aptos"/>
      <family val="2"/>
    </font>
    <font>
      <sz val="10"/>
      <color rgb="FF000000"/>
      <name val="Arial"/>
      <family val="2"/>
      <charset val="163"/>
      <scheme val="minor"/>
    </font>
    <font>
      <b/>
      <sz val="10"/>
      <color rgb="FFFFFFFF"/>
      <name val="Arial"/>
      <family val="2"/>
      <charset val="163"/>
      <scheme val="minor"/>
    </font>
    <font>
      <b/>
      <sz val="10"/>
      <color rgb="FF000000"/>
      <name val="Arial"/>
      <family val="2"/>
      <charset val="163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3366FF"/>
        <bgColor rgb="FF3366FF"/>
      </patternFill>
    </fill>
    <fill>
      <patternFill patternType="solid">
        <fgColor rgb="FFFFFF99"/>
        <bgColor rgb="FFFFFF99"/>
      </patternFill>
    </fill>
    <fill>
      <patternFill patternType="solid">
        <fgColor rgb="FFFFCC00"/>
        <bgColor rgb="FFFFCC00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F4F6F8"/>
      </patternFill>
    </fill>
    <fill>
      <patternFill patternType="solid">
        <fgColor rgb="FFFFFF00"/>
        <bgColor rgb="FFFFFF99"/>
      </patternFill>
    </fill>
    <fill>
      <patternFill patternType="solid">
        <fgColor rgb="FF1F4E7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A7B0BA"/>
      </left>
      <right style="thin">
        <color rgb="FFA7B0BA"/>
      </right>
      <top style="thin">
        <color rgb="FFA7B0BA"/>
      </top>
      <bottom style="thin">
        <color rgb="FFA7B0BA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</borders>
  <cellStyleXfs count="1">
    <xf numFmtId="0" fontId="0" fillId="0" borderId="1"/>
  </cellStyleXfs>
  <cellXfs count="312">
    <xf numFmtId="0" fontId="0" fillId="0" borderId="0" xfId="0" applyBorder="1"/>
    <xf numFmtId="0" fontId="1" fillId="2" borderId="1" xfId="0" applyFont="1" applyFill="1"/>
    <xf numFmtId="0" fontId="2" fillId="2" borderId="1" xfId="0" applyFont="1" applyFill="1"/>
    <xf numFmtId="0" fontId="3" fillId="2" borderId="1" xfId="0" applyFont="1" applyFill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2" borderId="1" xfId="0" applyFont="1" applyFill="1"/>
    <xf numFmtId="0" fontId="7" fillId="2" borderId="1" xfId="0" applyFont="1" applyFill="1"/>
    <xf numFmtId="0" fontId="8" fillId="2" borderId="1" xfId="0" applyFont="1" applyFill="1"/>
    <xf numFmtId="164" fontId="8" fillId="2" borderId="1" xfId="0" applyNumberFormat="1" applyFont="1" applyFill="1" applyAlignment="1">
      <alignment horizontal="right"/>
    </xf>
    <xf numFmtId="0" fontId="9" fillId="0" borderId="0" xfId="0" applyFont="1" applyBorder="1"/>
    <xf numFmtId="0" fontId="10" fillId="0" borderId="0" xfId="0" applyFont="1" applyBorder="1"/>
    <xf numFmtId="0" fontId="11" fillId="3" borderId="2" xfId="0" applyFont="1" applyFill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4" fillId="0" borderId="0" xfId="0" applyFont="1" applyBorder="1"/>
    <xf numFmtId="0" fontId="15" fillId="3" borderId="1" xfId="0" applyFont="1" applyFill="1" applyAlignment="1">
      <alignment horizontal="center"/>
    </xf>
    <xf numFmtId="165" fontId="16" fillId="3" borderId="3" xfId="0" applyNumberFormat="1" applyFont="1" applyFill="1" applyBorder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167" fontId="11" fillId="3" borderId="1" xfId="0" applyNumberFormat="1" applyFont="1" applyFill="1"/>
    <xf numFmtId="164" fontId="18" fillId="0" borderId="0" xfId="0" applyNumberFormat="1" applyFont="1" applyBorder="1" applyAlignment="1">
      <alignment horizontal="center"/>
    </xf>
    <xf numFmtId="167" fontId="9" fillId="0" borderId="4" xfId="0" applyNumberFormat="1" applyFont="1" applyBorder="1"/>
    <xf numFmtId="167" fontId="9" fillId="0" borderId="0" xfId="0" applyNumberFormat="1" applyFont="1" applyBorder="1"/>
    <xf numFmtId="9" fontId="12" fillId="0" borderId="0" xfId="0" applyNumberFormat="1" applyFont="1" applyBorder="1"/>
    <xf numFmtId="0" fontId="18" fillId="0" borderId="0" xfId="0" applyFont="1" applyBorder="1" applyAlignment="1">
      <alignment horizontal="left"/>
    </xf>
    <xf numFmtId="168" fontId="18" fillId="0" borderId="0" xfId="0" applyNumberFormat="1" applyFont="1" applyBorder="1" applyAlignment="1">
      <alignment horizontal="right"/>
    </xf>
    <xf numFmtId="164" fontId="18" fillId="0" borderId="0" xfId="0" applyNumberFormat="1" applyFont="1" applyBorder="1" applyAlignment="1">
      <alignment horizontal="right"/>
    </xf>
    <xf numFmtId="168" fontId="18" fillId="0" borderId="4" xfId="0" applyNumberFormat="1" applyFont="1" applyBorder="1" applyAlignment="1">
      <alignment horizontal="right"/>
    </xf>
    <xf numFmtId="164" fontId="19" fillId="0" borderId="0" xfId="0" applyNumberFormat="1" applyFont="1" applyBorder="1"/>
    <xf numFmtId="9" fontId="5" fillId="0" borderId="0" xfId="0" applyNumberFormat="1" applyFont="1" applyBorder="1"/>
    <xf numFmtId="169" fontId="20" fillId="3" borderId="3" xfId="0" applyNumberFormat="1" applyFont="1" applyFill="1" applyBorder="1"/>
    <xf numFmtId="169" fontId="21" fillId="0" borderId="0" xfId="0" applyNumberFormat="1" applyFont="1" applyBorder="1"/>
    <xf numFmtId="170" fontId="22" fillId="0" borderId="0" xfId="0" applyNumberFormat="1" applyFont="1" applyBorder="1" applyAlignment="1">
      <alignment horizontal="center"/>
    </xf>
    <xf numFmtId="171" fontId="23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172" fontId="12" fillId="0" borderId="0" xfId="0" applyNumberFormat="1" applyFont="1" applyBorder="1"/>
    <xf numFmtId="0" fontId="10" fillId="0" borderId="0" xfId="0" applyFont="1" applyBorder="1" applyAlignment="1">
      <alignment horizontal="left"/>
    </xf>
    <xf numFmtId="173" fontId="10" fillId="0" borderId="0" xfId="0" applyNumberFormat="1" applyFont="1" applyBorder="1"/>
    <xf numFmtId="168" fontId="10" fillId="0" borderId="0" xfId="0" applyNumberFormat="1" applyFont="1" applyBorder="1"/>
    <xf numFmtId="174" fontId="10" fillId="0" borderId="0" xfId="0" applyNumberFormat="1" applyFont="1" applyBorder="1"/>
    <xf numFmtId="175" fontId="10" fillId="0" borderId="0" xfId="0" applyNumberFormat="1" applyFont="1" applyBorder="1"/>
    <xf numFmtId="176" fontId="5" fillId="0" borderId="0" xfId="0" applyNumberFormat="1" applyFont="1" applyBorder="1"/>
    <xf numFmtId="169" fontId="24" fillId="0" borderId="5" xfId="0" applyNumberFormat="1" applyFont="1" applyBorder="1"/>
    <xf numFmtId="0" fontId="10" fillId="0" borderId="5" xfId="0" applyFont="1" applyBorder="1"/>
    <xf numFmtId="169" fontId="10" fillId="0" borderId="0" xfId="0" applyNumberFormat="1" applyFont="1" applyBorder="1"/>
    <xf numFmtId="169" fontId="10" fillId="0" borderId="5" xfId="0" applyNumberFormat="1" applyFont="1" applyBorder="1"/>
    <xf numFmtId="177" fontId="10" fillId="3" borderId="3" xfId="0" applyNumberFormat="1" applyFont="1" applyFill="1" applyBorder="1"/>
    <xf numFmtId="169" fontId="25" fillId="0" borderId="0" xfId="0" applyNumberFormat="1" applyFont="1" applyBorder="1"/>
    <xf numFmtId="0" fontId="10" fillId="0" borderId="0" xfId="0" applyFont="1" applyBorder="1" applyAlignment="1">
      <alignment horizontal="center"/>
    </xf>
    <xf numFmtId="169" fontId="26" fillId="0" borderId="0" xfId="0" applyNumberFormat="1" applyFont="1" applyBorder="1"/>
    <xf numFmtId="169" fontId="27" fillId="0" borderId="0" xfId="0" applyNumberFormat="1" applyFont="1" applyBorder="1"/>
    <xf numFmtId="172" fontId="9" fillId="0" borderId="0" xfId="0" applyNumberFormat="1" applyFont="1" applyBorder="1"/>
    <xf numFmtId="0" fontId="4" fillId="0" borderId="0" xfId="0" applyFont="1" applyBorder="1" applyAlignment="1">
      <alignment horizontal="left"/>
    </xf>
    <xf numFmtId="178" fontId="28" fillId="3" borderId="1" xfId="0" applyNumberFormat="1" applyFont="1" applyFill="1" applyAlignment="1">
      <alignment horizontal="right" vertical="center"/>
    </xf>
    <xf numFmtId="172" fontId="10" fillId="0" borderId="0" xfId="0" applyNumberFormat="1" applyFont="1" applyBorder="1"/>
    <xf numFmtId="169" fontId="4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79" fontId="29" fillId="0" borderId="0" xfId="0" applyNumberFormat="1" applyFont="1" applyBorder="1"/>
    <xf numFmtId="179" fontId="4" fillId="0" borderId="0" xfId="0" applyNumberFormat="1" applyFont="1" applyBorder="1"/>
    <xf numFmtId="0" fontId="9" fillId="4" borderId="1" xfId="0" applyFont="1" applyFill="1"/>
    <xf numFmtId="0" fontId="4" fillId="4" borderId="1" xfId="0" applyFont="1" applyFill="1"/>
    <xf numFmtId="176" fontId="30" fillId="4" borderId="1" xfId="0" applyNumberFormat="1" applyFont="1" applyFill="1"/>
    <xf numFmtId="172" fontId="4" fillId="4" borderId="1" xfId="0" applyNumberFormat="1" applyFont="1" applyFill="1"/>
    <xf numFmtId="0" fontId="4" fillId="4" borderId="1" xfId="0" applyFont="1" applyFill="1" applyAlignment="1">
      <alignment horizontal="center"/>
    </xf>
    <xf numFmtId="167" fontId="9" fillId="4" borderId="1" xfId="0" applyNumberFormat="1" applyFont="1" applyFill="1"/>
    <xf numFmtId="176" fontId="18" fillId="0" borderId="0" xfId="0" applyNumberFormat="1" applyFont="1" applyBorder="1"/>
    <xf numFmtId="164" fontId="10" fillId="0" borderId="0" xfId="0" applyNumberFormat="1" applyFont="1" applyBorder="1"/>
    <xf numFmtId="164" fontId="31" fillId="0" borderId="0" xfId="0" applyNumberFormat="1" applyFont="1" applyBorder="1" applyAlignment="1">
      <alignment horizontal="center"/>
    </xf>
    <xf numFmtId="180" fontId="32" fillId="0" borderId="0" xfId="0" applyNumberFormat="1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181" fontId="9" fillId="0" borderId="0" xfId="0" applyNumberFormat="1" applyFont="1" applyBorder="1"/>
    <xf numFmtId="167" fontId="10" fillId="0" borderId="0" xfId="0" applyNumberFormat="1" applyFont="1" applyBorder="1"/>
    <xf numFmtId="172" fontId="4" fillId="0" borderId="0" xfId="0" applyNumberFormat="1" applyFont="1" applyBorder="1"/>
    <xf numFmtId="182" fontId="35" fillId="0" borderId="0" xfId="0" applyNumberFormat="1" applyFont="1" applyBorder="1"/>
    <xf numFmtId="181" fontId="9" fillId="0" borderId="0" xfId="0" applyNumberFormat="1" applyFont="1" applyBorder="1" applyAlignment="1">
      <alignment horizontal="center"/>
    </xf>
    <xf numFmtId="181" fontId="11" fillId="0" borderId="0" xfId="0" applyNumberFormat="1" applyFont="1" applyBorder="1" applyAlignment="1">
      <alignment horizontal="center"/>
    </xf>
    <xf numFmtId="0" fontId="36" fillId="0" borderId="0" xfId="0" applyFont="1" applyBorder="1"/>
    <xf numFmtId="164" fontId="36" fillId="0" borderId="0" xfId="0" applyNumberFormat="1" applyFont="1" applyBorder="1"/>
    <xf numFmtId="164" fontId="9" fillId="0" borderId="0" xfId="0" applyNumberFormat="1" applyFont="1" applyBorder="1"/>
    <xf numFmtId="38" fontId="4" fillId="0" borderId="0" xfId="0" applyNumberFormat="1" applyFont="1" applyBorder="1" applyAlignment="1">
      <alignment horizontal="center"/>
    </xf>
    <xf numFmtId="176" fontId="10" fillId="0" borderId="0" xfId="0" applyNumberFormat="1" applyFont="1" applyBorder="1"/>
    <xf numFmtId="38" fontId="38" fillId="0" borderId="0" xfId="0" applyNumberFormat="1" applyFont="1" applyBorder="1" applyAlignment="1">
      <alignment horizontal="center"/>
    </xf>
    <xf numFmtId="164" fontId="11" fillId="0" borderId="0" xfId="0" applyNumberFormat="1" applyFont="1" applyBorder="1"/>
    <xf numFmtId="183" fontId="12" fillId="0" borderId="0" xfId="0" applyNumberFormat="1" applyFont="1" applyBorder="1" applyAlignment="1">
      <alignment horizontal="center"/>
    </xf>
    <xf numFmtId="178" fontId="9" fillId="4" borderId="2" xfId="0" applyNumberFormat="1" applyFont="1" applyFill="1" applyBorder="1" applyAlignment="1">
      <alignment horizontal="right" vertical="center"/>
    </xf>
    <xf numFmtId="164" fontId="4" fillId="0" borderId="0" xfId="0" applyNumberFormat="1" applyFont="1" applyBorder="1"/>
    <xf numFmtId="167" fontId="9" fillId="4" borderId="2" xfId="0" applyNumberFormat="1" applyFont="1" applyFill="1" applyBorder="1"/>
    <xf numFmtId="177" fontId="28" fillId="3" borderId="1" xfId="0" applyNumberFormat="1" applyFont="1" applyFill="1"/>
    <xf numFmtId="0" fontId="40" fillId="0" borderId="0" xfId="0" applyFont="1" applyBorder="1"/>
    <xf numFmtId="184" fontId="9" fillId="4" borderId="2" xfId="0" applyNumberFormat="1" applyFont="1" applyFill="1" applyBorder="1" applyAlignment="1">
      <alignment horizontal="right" vertical="center"/>
    </xf>
    <xf numFmtId="169" fontId="4" fillId="0" borderId="0" xfId="0" applyNumberFormat="1" applyFont="1" applyBorder="1"/>
    <xf numFmtId="181" fontId="4" fillId="0" borderId="0" xfId="0" applyNumberFormat="1" applyFont="1" applyBorder="1"/>
    <xf numFmtId="169" fontId="28" fillId="0" borderId="0" xfId="0" applyNumberFormat="1" applyFont="1" applyBorder="1"/>
    <xf numFmtId="182" fontId="35" fillId="4" borderId="1" xfId="0" applyNumberFormat="1" applyFont="1" applyFill="1"/>
    <xf numFmtId="181" fontId="9" fillId="5" borderId="6" xfId="0" applyNumberFormat="1" applyFont="1" applyFill="1" applyBorder="1" applyAlignment="1">
      <alignment horizontal="center"/>
    </xf>
    <xf numFmtId="181" fontId="11" fillId="5" borderId="6" xfId="0" applyNumberFormat="1" applyFont="1" applyFill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5" borderId="1" xfId="0" applyNumberFormat="1" applyFont="1" applyFill="1"/>
    <xf numFmtId="38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38" fontId="38" fillId="2" borderId="1" xfId="0" applyNumberFormat="1" applyFont="1" applyFill="1" applyAlignment="1">
      <alignment horizontal="center"/>
    </xf>
    <xf numFmtId="164" fontId="38" fillId="2" borderId="1" xfId="0" applyNumberFormat="1" applyFont="1" applyFill="1" applyAlignment="1">
      <alignment horizontal="center"/>
    </xf>
    <xf numFmtId="164" fontId="11" fillId="5" borderId="1" xfId="0" applyNumberFormat="1" applyFont="1" applyFill="1"/>
    <xf numFmtId="183" fontId="12" fillId="4" borderId="1" xfId="0" applyNumberFormat="1" applyFont="1" applyFill="1" applyAlignment="1">
      <alignment horizontal="center"/>
    </xf>
    <xf numFmtId="164" fontId="12" fillId="4" borderId="1" xfId="0" applyNumberFormat="1" applyFont="1" applyFill="1" applyAlignment="1">
      <alignment horizontal="center"/>
    </xf>
    <xf numFmtId="176" fontId="9" fillId="0" borderId="0" xfId="0" applyNumberFormat="1" applyFont="1" applyBorder="1"/>
    <xf numFmtId="164" fontId="10" fillId="0" borderId="8" xfId="0" applyNumberFormat="1" applyFont="1" applyBorder="1"/>
    <xf numFmtId="0" fontId="12" fillId="0" borderId="8" xfId="0" applyFont="1" applyBorder="1"/>
    <xf numFmtId="176" fontId="9" fillId="0" borderId="8" xfId="0" applyNumberFormat="1" applyFont="1" applyBorder="1"/>
    <xf numFmtId="164" fontId="10" fillId="0" borderId="8" xfId="0" applyNumberFormat="1" applyFont="1" applyBorder="1" applyAlignment="1">
      <alignment horizontal="right"/>
    </xf>
    <xf numFmtId="0" fontId="4" fillId="0" borderId="8" xfId="0" applyFont="1" applyBorder="1"/>
    <xf numFmtId="164" fontId="18" fillId="0" borderId="0" xfId="0" applyNumberFormat="1" applyFont="1" applyBorder="1"/>
    <xf numFmtId="0" fontId="30" fillId="0" borderId="0" xfId="0" applyFont="1" applyBorder="1"/>
    <xf numFmtId="164" fontId="10" fillId="4" borderId="9" xfId="0" applyNumberFormat="1" applyFont="1" applyFill="1" applyBorder="1"/>
    <xf numFmtId="0" fontId="12" fillId="4" borderId="10" xfId="0" applyFont="1" applyFill="1" applyBorder="1"/>
    <xf numFmtId="178" fontId="10" fillId="4" borderId="10" xfId="0" applyNumberFormat="1" applyFont="1" applyFill="1" applyBorder="1" applyAlignment="1">
      <alignment horizontal="right" vertical="center"/>
    </xf>
    <xf numFmtId="178" fontId="10" fillId="4" borderId="11" xfId="0" applyNumberFormat="1" applyFont="1" applyFill="1" applyBorder="1" applyAlignment="1">
      <alignment horizontal="right" vertical="center"/>
    </xf>
    <xf numFmtId="178" fontId="10" fillId="4" borderId="12" xfId="0" applyNumberFormat="1" applyFont="1" applyFill="1" applyBorder="1" applyAlignment="1">
      <alignment horizontal="right" vertical="center"/>
    </xf>
    <xf numFmtId="164" fontId="10" fillId="4" borderId="13" xfId="0" applyNumberFormat="1" applyFont="1" applyFill="1" applyBorder="1"/>
    <xf numFmtId="0" fontId="12" fillId="4" borderId="1" xfId="0" applyFont="1" applyFill="1"/>
    <xf numFmtId="178" fontId="10" fillId="4" borderId="1" xfId="0" applyNumberFormat="1" applyFont="1" applyFill="1" applyAlignment="1">
      <alignment horizontal="right" vertical="center"/>
    </xf>
    <xf numFmtId="178" fontId="10" fillId="4" borderId="14" xfId="0" applyNumberFormat="1" applyFont="1" applyFill="1" applyBorder="1" applyAlignment="1">
      <alignment horizontal="right" vertical="center"/>
    </xf>
    <xf numFmtId="178" fontId="10" fillId="4" borderId="15" xfId="0" applyNumberFormat="1" applyFont="1" applyFill="1" applyBorder="1" applyAlignment="1">
      <alignment horizontal="right" vertical="center"/>
    </xf>
    <xf numFmtId="178" fontId="28" fillId="4" borderId="1" xfId="0" applyNumberFormat="1" applyFont="1" applyFill="1" applyAlignment="1">
      <alignment horizontal="right" vertical="center"/>
    </xf>
    <xf numFmtId="164" fontId="10" fillId="4" borderId="16" xfId="0" applyNumberFormat="1" applyFont="1" applyFill="1" applyBorder="1"/>
    <xf numFmtId="0" fontId="12" fillId="4" borderId="6" xfId="0" applyFont="1" applyFill="1" applyBorder="1"/>
    <xf numFmtId="176" fontId="9" fillId="4" borderId="6" xfId="0" applyNumberFormat="1" applyFont="1" applyFill="1" applyBorder="1"/>
    <xf numFmtId="164" fontId="10" fillId="4" borderId="6" xfId="0" applyNumberFormat="1" applyFont="1" applyFill="1" applyBorder="1" applyAlignment="1">
      <alignment horizontal="right"/>
    </xf>
    <xf numFmtId="164" fontId="10" fillId="4" borderId="6" xfId="0" applyNumberFormat="1" applyFont="1" applyFill="1" applyBorder="1"/>
    <xf numFmtId="178" fontId="10" fillId="4" borderId="17" xfId="0" applyNumberFormat="1" applyFont="1" applyFill="1" applyBorder="1" applyAlignment="1">
      <alignment horizontal="right" vertical="center"/>
    </xf>
    <xf numFmtId="178" fontId="10" fillId="4" borderId="6" xfId="0" applyNumberFormat="1" applyFont="1" applyFill="1" applyBorder="1" applyAlignment="1">
      <alignment horizontal="right" vertical="center"/>
    </xf>
    <xf numFmtId="178" fontId="10" fillId="4" borderId="18" xfId="0" applyNumberFormat="1" applyFont="1" applyFill="1" applyBorder="1" applyAlignment="1">
      <alignment horizontal="right" vertical="center"/>
    </xf>
    <xf numFmtId="181" fontId="36" fillId="0" borderId="0" xfId="0" applyNumberFormat="1" applyFont="1" applyBorder="1"/>
    <xf numFmtId="0" fontId="38" fillId="2" borderId="1" xfId="0" applyFont="1" applyFill="1"/>
    <xf numFmtId="0" fontId="42" fillId="0" borderId="0" xfId="0" applyFont="1" applyBorder="1"/>
    <xf numFmtId="0" fontId="6" fillId="0" borderId="0" xfId="0" applyFont="1" applyBorder="1"/>
    <xf numFmtId="0" fontId="7" fillId="0" borderId="0" xfId="0" applyFont="1" applyBorder="1"/>
    <xf numFmtId="182" fontId="35" fillId="4" borderId="1" xfId="0" applyNumberFormat="1" applyFont="1" applyFill="1" applyAlignment="1">
      <alignment horizontal="right"/>
    </xf>
    <xf numFmtId="181" fontId="9" fillId="5" borderId="1" xfId="0" applyNumberFormat="1" applyFont="1" applyFill="1" applyAlignment="1">
      <alignment horizontal="center"/>
    </xf>
    <xf numFmtId="181" fontId="11" fillId="5" borderId="1" xfId="0" applyNumberFormat="1" applyFont="1" applyFill="1" applyAlignment="1">
      <alignment horizontal="center"/>
    </xf>
    <xf numFmtId="38" fontId="4" fillId="0" borderId="19" xfId="0" applyNumberFormat="1" applyFont="1" applyBorder="1" applyAlignment="1">
      <alignment horizontal="center"/>
    </xf>
    <xf numFmtId="38" fontId="4" fillId="0" borderId="20" xfId="0" applyNumberFormat="1" applyFont="1" applyBorder="1" applyAlignment="1">
      <alignment horizontal="center"/>
    </xf>
    <xf numFmtId="40" fontId="4" fillId="0" borderId="19" xfId="0" applyNumberFormat="1" applyFont="1" applyBorder="1" applyAlignment="1">
      <alignment horizontal="center"/>
    </xf>
    <xf numFmtId="40" fontId="4" fillId="0" borderId="20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40" fontId="4" fillId="0" borderId="7" xfId="0" applyNumberFormat="1" applyFont="1" applyBorder="1" applyAlignment="1">
      <alignment horizontal="center"/>
    </xf>
    <xf numFmtId="40" fontId="38" fillId="2" borderId="1" xfId="0" applyNumberFormat="1" applyFont="1" applyFill="1" applyAlignment="1">
      <alignment horizontal="center"/>
    </xf>
    <xf numFmtId="40" fontId="4" fillId="0" borderId="0" xfId="0" applyNumberFormat="1" applyFont="1" applyBorder="1" applyAlignment="1">
      <alignment horizontal="center"/>
    </xf>
    <xf numFmtId="181" fontId="4" fillId="0" borderId="19" xfId="0" applyNumberFormat="1" applyFont="1" applyBorder="1" applyAlignment="1">
      <alignment horizontal="center"/>
    </xf>
    <xf numFmtId="181" fontId="4" fillId="0" borderId="20" xfId="0" applyNumberFormat="1" applyFont="1" applyBorder="1" applyAlignment="1">
      <alignment horizontal="center"/>
    </xf>
    <xf numFmtId="181" fontId="4" fillId="0" borderId="7" xfId="0" applyNumberFormat="1" applyFont="1" applyBorder="1" applyAlignment="1">
      <alignment horizontal="center"/>
    </xf>
    <xf numFmtId="181" fontId="38" fillId="2" borderId="1" xfId="0" applyNumberFormat="1" applyFont="1" applyFill="1" applyAlignment="1">
      <alignment horizontal="center"/>
    </xf>
    <xf numFmtId="181" fontId="4" fillId="0" borderId="0" xfId="0" applyNumberFormat="1" applyFont="1" applyBorder="1" applyAlignment="1">
      <alignment horizontal="center"/>
    </xf>
    <xf numFmtId="181" fontId="12" fillId="4" borderId="1" xfId="0" applyNumberFormat="1" applyFont="1" applyFill="1" applyAlignment="1">
      <alignment horizontal="center"/>
    </xf>
    <xf numFmtId="0" fontId="9" fillId="5" borderId="1" xfId="0" applyFont="1" applyFill="1"/>
    <xf numFmtId="0" fontId="10" fillId="5" borderId="1" xfId="0" applyFont="1" applyFill="1"/>
    <xf numFmtId="167" fontId="9" fillId="5" borderId="1" xfId="0" applyNumberFormat="1" applyFont="1" applyFill="1"/>
    <xf numFmtId="169" fontId="10" fillId="5" borderId="1" xfId="0" applyNumberFormat="1" applyFont="1" applyFill="1"/>
    <xf numFmtId="169" fontId="44" fillId="5" borderId="1" xfId="0" applyNumberFormat="1" applyFont="1" applyFill="1"/>
    <xf numFmtId="0" fontId="10" fillId="4" borderId="1" xfId="0" applyFont="1" applyFill="1"/>
    <xf numFmtId="0" fontId="9" fillId="5" borderId="1" xfId="0" applyFont="1" applyFill="1" applyAlignment="1">
      <alignment horizontal="center"/>
    </xf>
    <xf numFmtId="14" fontId="46" fillId="5" borderId="1" xfId="0" applyNumberFormat="1" applyFont="1" applyFill="1" applyAlignment="1">
      <alignment horizontal="center"/>
    </xf>
    <xf numFmtId="174" fontId="28" fillId="3" borderId="1" xfId="0" applyNumberFormat="1" applyFont="1" applyFill="1"/>
    <xf numFmtId="169" fontId="10" fillId="5" borderId="1" xfId="0" applyNumberFormat="1" applyFont="1" applyFill="1" applyAlignment="1">
      <alignment horizontal="right"/>
    </xf>
    <xf numFmtId="175" fontId="28" fillId="3" borderId="1" xfId="0" applyNumberFormat="1" applyFont="1" applyFill="1"/>
    <xf numFmtId="174" fontId="47" fillId="3" borderId="1" xfId="0" applyNumberFormat="1" applyFont="1" applyFill="1"/>
    <xf numFmtId="175" fontId="48" fillId="3" borderId="1" xfId="0" applyNumberFormat="1" applyFont="1" applyFill="1"/>
    <xf numFmtId="169" fontId="50" fillId="5" borderId="1" xfId="0" applyNumberFormat="1" applyFont="1" applyFill="1" applyAlignment="1">
      <alignment horizontal="right"/>
    </xf>
    <xf numFmtId="169" fontId="9" fillId="5" borderId="1" xfId="0" applyNumberFormat="1" applyFont="1" applyFill="1"/>
    <xf numFmtId="0" fontId="52" fillId="0" borderId="0" xfId="0" applyFont="1" applyBorder="1"/>
    <xf numFmtId="0" fontId="42" fillId="2" borderId="1" xfId="0" applyFont="1" applyFill="1"/>
    <xf numFmtId="0" fontId="38" fillId="2" borderId="1" xfId="0" applyFont="1" applyFill="1" applyAlignment="1">
      <alignment horizontal="center"/>
    </xf>
    <xf numFmtId="0" fontId="38" fillId="0" borderId="0" xfId="0" applyFont="1" applyBorder="1"/>
    <xf numFmtId="0" fontId="55" fillId="2" borderId="1" xfId="0" applyFont="1" applyFill="1"/>
    <xf numFmtId="0" fontId="8" fillId="6" borderId="1" xfId="0" applyFont="1" applyFill="1"/>
    <xf numFmtId="165" fontId="56" fillId="0" borderId="0" xfId="0" applyNumberFormat="1" applyFont="1" applyBorder="1" applyAlignment="1">
      <alignment horizontal="center"/>
    </xf>
    <xf numFmtId="169" fontId="57" fillId="6" borderId="1" xfId="0" applyNumberFormat="1" applyFont="1" applyFill="1" applyAlignment="1">
      <alignment horizontal="center"/>
    </xf>
    <xf numFmtId="0" fontId="58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167" fontId="10" fillId="0" borderId="21" xfId="0" applyNumberFormat="1" applyFont="1" applyBorder="1"/>
    <xf numFmtId="177" fontId="10" fillId="0" borderId="0" xfId="0" applyNumberFormat="1" applyFont="1" applyBorder="1"/>
    <xf numFmtId="177" fontId="10" fillId="0" borderId="21" xfId="0" applyNumberFormat="1" applyFont="1" applyBorder="1"/>
    <xf numFmtId="169" fontId="4" fillId="0" borderId="21" xfId="0" applyNumberFormat="1" applyFont="1" applyBorder="1"/>
    <xf numFmtId="0" fontId="59" fillId="0" borderId="0" xfId="0" applyFont="1" applyBorder="1"/>
    <xf numFmtId="177" fontId="28" fillId="0" borderId="0" xfId="0" applyNumberFormat="1" applyFont="1" applyBorder="1"/>
    <xf numFmtId="177" fontId="60" fillId="0" borderId="0" xfId="0" applyNumberFormat="1" applyFont="1" applyBorder="1"/>
    <xf numFmtId="177" fontId="61" fillId="0" borderId="0" xfId="0" applyNumberFormat="1" applyFont="1" applyBorder="1"/>
    <xf numFmtId="177" fontId="62" fillId="0" borderId="21" xfId="0" applyNumberFormat="1" applyFont="1" applyBorder="1"/>
    <xf numFmtId="167" fontId="9" fillId="0" borderId="21" xfId="0" applyNumberFormat="1" applyFont="1" applyBorder="1"/>
    <xf numFmtId="176" fontId="4" fillId="0" borderId="0" xfId="0" applyNumberFormat="1" applyFont="1" applyBorder="1"/>
    <xf numFmtId="176" fontId="4" fillId="0" borderId="21" xfId="0" applyNumberFormat="1" applyFont="1" applyBorder="1"/>
    <xf numFmtId="0" fontId="36" fillId="0" borderId="0" xfId="0" applyFont="1" applyBorder="1" applyAlignment="1">
      <alignment horizontal="left"/>
    </xf>
    <xf numFmtId="168" fontId="18" fillId="0" borderId="21" xfId="0" applyNumberFormat="1" applyFont="1" applyBorder="1" applyAlignment="1">
      <alignment horizontal="right"/>
    </xf>
    <xf numFmtId="176" fontId="12" fillId="0" borderId="0" xfId="0" applyNumberFormat="1" applyFont="1" applyBorder="1"/>
    <xf numFmtId="176" fontId="12" fillId="4" borderId="1" xfId="0" applyNumberFormat="1" applyFont="1" applyFill="1"/>
    <xf numFmtId="167" fontId="9" fillId="4" borderId="14" xfId="0" applyNumberFormat="1" applyFont="1" applyFill="1" applyBorder="1"/>
    <xf numFmtId="176" fontId="12" fillId="0" borderId="21" xfId="0" applyNumberFormat="1" applyFont="1" applyBorder="1"/>
    <xf numFmtId="0" fontId="4" fillId="0" borderId="21" xfId="0" applyFont="1" applyBorder="1"/>
    <xf numFmtId="0" fontId="4" fillId="4" borderId="9" xfId="0" applyFont="1" applyFill="1" applyBorder="1" applyAlignment="1">
      <alignment horizontal="left"/>
    </xf>
    <xf numFmtId="177" fontId="10" fillId="4" borderId="10" xfId="0" applyNumberFormat="1" applyFont="1" applyFill="1" applyBorder="1"/>
    <xf numFmtId="177" fontId="10" fillId="4" borderId="11" xfId="0" applyNumberFormat="1" applyFont="1" applyFill="1" applyBorder="1"/>
    <xf numFmtId="177" fontId="10" fillId="4" borderId="12" xfId="0" applyNumberFormat="1" applyFont="1" applyFill="1" applyBorder="1"/>
    <xf numFmtId="0" fontId="4" fillId="4" borderId="13" xfId="0" applyFont="1" applyFill="1" applyBorder="1" applyAlignment="1">
      <alignment horizontal="left"/>
    </xf>
    <xf numFmtId="177" fontId="10" fillId="4" borderId="1" xfId="0" applyNumberFormat="1" applyFont="1" applyFill="1"/>
    <xf numFmtId="177" fontId="10" fillId="4" borderId="14" xfId="0" applyNumberFormat="1" applyFont="1" applyFill="1" applyBorder="1"/>
    <xf numFmtId="177" fontId="10" fillId="4" borderId="15" xfId="0" applyNumberFormat="1" applyFont="1" applyFill="1" applyBorder="1"/>
    <xf numFmtId="164" fontId="4" fillId="4" borderId="1" xfId="0" applyNumberFormat="1" applyFont="1" applyFill="1"/>
    <xf numFmtId="0" fontId="4" fillId="4" borderId="13" xfId="0" applyFont="1" applyFill="1" applyBorder="1"/>
    <xf numFmtId="182" fontId="4" fillId="4" borderId="1" xfId="0" applyNumberFormat="1" applyFont="1" applyFill="1"/>
    <xf numFmtId="0" fontId="4" fillId="4" borderId="14" xfId="0" applyFont="1" applyFill="1" applyBorder="1"/>
    <xf numFmtId="0" fontId="4" fillId="4" borderId="15" xfId="0" applyFont="1" applyFill="1" applyBorder="1"/>
    <xf numFmtId="0" fontId="4" fillId="4" borderId="16" xfId="0" applyFont="1" applyFill="1" applyBorder="1" applyAlignment="1">
      <alignment horizontal="left"/>
    </xf>
    <xf numFmtId="164" fontId="4" fillId="4" borderId="6" xfId="0" applyNumberFormat="1" applyFont="1" applyFill="1" applyBorder="1"/>
    <xf numFmtId="0" fontId="4" fillId="0" borderId="0" xfId="0" applyFont="1" applyBorder="1" applyAlignment="1">
      <alignment horizontal="right"/>
    </xf>
    <xf numFmtId="0" fontId="63" fillId="0" borderId="0" xfId="0" applyFont="1" applyBorder="1"/>
    <xf numFmtId="0" fontId="64" fillId="0" borderId="0" xfId="0" applyFont="1" applyBorder="1" applyAlignment="1">
      <alignment horizontal="center"/>
    </xf>
    <xf numFmtId="0" fontId="10" fillId="0" borderId="0" xfId="0" applyFont="1" applyBorder="1" applyAlignment="1">
      <alignment vertical="top"/>
    </xf>
    <xf numFmtId="178" fontId="10" fillId="0" borderId="0" xfId="0" applyNumberFormat="1" applyFont="1" applyBorder="1" applyAlignment="1">
      <alignment horizontal="right" vertical="center"/>
    </xf>
    <xf numFmtId="0" fontId="28" fillId="3" borderId="1" xfId="0" applyFont="1" applyFill="1"/>
    <xf numFmtId="167" fontId="28" fillId="3" borderId="1" xfId="0" applyNumberFormat="1" applyFont="1" applyFill="1"/>
    <xf numFmtId="182" fontId="28" fillId="0" borderId="0" xfId="0" applyNumberFormat="1" applyFont="1" applyBorder="1"/>
    <xf numFmtId="164" fontId="28" fillId="0" borderId="0" xfId="0" applyNumberFormat="1" applyFont="1" applyBorder="1"/>
    <xf numFmtId="178" fontId="9" fillId="4" borderId="1" xfId="0" applyNumberFormat="1" applyFont="1" applyFill="1" applyAlignment="1">
      <alignment horizontal="right" vertical="center"/>
    </xf>
    <xf numFmtId="40" fontId="4" fillId="0" borderId="0" xfId="0" applyNumberFormat="1" applyFont="1" applyBorder="1"/>
    <xf numFmtId="164" fontId="9" fillId="5" borderId="6" xfId="0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0" fontId="10" fillId="0" borderId="22" xfId="0" applyFont="1" applyBorder="1"/>
    <xf numFmtId="182" fontId="10" fillId="0" borderId="0" xfId="0" applyNumberFormat="1" applyFont="1" applyBorder="1"/>
    <xf numFmtId="178" fontId="10" fillId="0" borderId="23" xfId="0" applyNumberFormat="1" applyFont="1" applyBorder="1" applyAlignment="1">
      <alignment horizontal="right" vertical="center"/>
    </xf>
    <xf numFmtId="168" fontId="10" fillId="0" borderId="23" xfId="0" applyNumberFormat="1" applyFont="1" applyBorder="1"/>
    <xf numFmtId="168" fontId="10" fillId="4" borderId="1" xfId="0" applyNumberFormat="1" applyFont="1" applyFill="1"/>
    <xf numFmtId="168" fontId="10" fillId="4" borderId="15" xfId="0" applyNumberFormat="1" applyFont="1" applyFill="1" applyBorder="1"/>
    <xf numFmtId="168" fontId="10" fillId="4" borderId="6" xfId="0" applyNumberFormat="1" applyFont="1" applyFill="1" applyBorder="1"/>
    <xf numFmtId="168" fontId="10" fillId="4" borderId="18" xfId="0" applyNumberFormat="1" applyFont="1" applyFill="1" applyBorder="1"/>
    <xf numFmtId="164" fontId="10" fillId="0" borderId="23" xfId="0" applyNumberFormat="1" applyFont="1" applyBorder="1"/>
    <xf numFmtId="0" fontId="10" fillId="0" borderId="24" xfId="0" applyFont="1" applyBorder="1"/>
    <xf numFmtId="0" fontId="9" fillId="0" borderId="22" xfId="0" applyFont="1" applyBorder="1"/>
    <xf numFmtId="177" fontId="10" fillId="4" borderId="6" xfId="0" applyNumberFormat="1" applyFont="1" applyFill="1" applyBorder="1"/>
    <xf numFmtId="177" fontId="10" fillId="4" borderId="18" xfId="0" applyNumberFormat="1" applyFont="1" applyFill="1" applyBorder="1"/>
    <xf numFmtId="177" fontId="18" fillId="0" borderId="0" xfId="0" applyNumberFormat="1" applyFont="1" applyBorder="1"/>
    <xf numFmtId="177" fontId="10" fillId="0" borderId="23" xfId="0" applyNumberFormat="1" applyFont="1" applyBorder="1"/>
    <xf numFmtId="168" fontId="18" fillId="0" borderId="0" xfId="0" applyNumberFormat="1" applyFont="1" applyBorder="1"/>
    <xf numFmtId="167" fontId="66" fillId="3" borderId="1" xfId="0" applyNumberFormat="1" applyFont="1" applyFill="1"/>
    <xf numFmtId="169" fontId="66" fillId="3" borderId="1" xfId="0" applyNumberFormat="1" applyFont="1" applyFill="1"/>
    <xf numFmtId="177" fontId="66" fillId="3" borderId="1" xfId="0" applyNumberFormat="1" applyFont="1" applyFill="1"/>
    <xf numFmtId="178" fontId="66" fillId="3" borderId="1" xfId="0" applyNumberFormat="1" applyFont="1" applyFill="1" applyAlignment="1">
      <alignment horizontal="right" vertical="center"/>
    </xf>
    <xf numFmtId="178" fontId="66" fillId="4" borderId="2" xfId="0" applyNumberFormat="1" applyFont="1" applyFill="1" applyBorder="1" applyAlignment="1">
      <alignment horizontal="right" vertical="center"/>
    </xf>
    <xf numFmtId="178" fontId="66" fillId="4" borderId="13" xfId="0" applyNumberFormat="1" applyFont="1" applyFill="1" applyBorder="1" applyAlignment="1">
      <alignment horizontal="right" vertical="center"/>
    </xf>
    <xf numFmtId="178" fontId="66" fillId="4" borderId="1" xfId="0" applyNumberFormat="1" applyFont="1" applyFill="1" applyAlignment="1">
      <alignment horizontal="right" vertical="center"/>
    </xf>
    <xf numFmtId="178" fontId="66" fillId="4" borderId="16" xfId="0" applyNumberFormat="1" applyFont="1" applyFill="1" applyBorder="1" applyAlignment="1">
      <alignment horizontal="right" vertical="center"/>
    </xf>
    <xf numFmtId="178" fontId="66" fillId="4" borderId="6" xfId="0" applyNumberFormat="1" applyFont="1" applyFill="1" applyBorder="1" applyAlignment="1">
      <alignment horizontal="right" vertical="center"/>
    </xf>
    <xf numFmtId="177" fontId="66" fillId="4" borderId="9" xfId="0" applyNumberFormat="1" applyFont="1" applyFill="1" applyBorder="1"/>
    <xf numFmtId="177" fontId="66" fillId="4" borderId="10" xfId="0" applyNumberFormat="1" applyFont="1" applyFill="1" applyBorder="1"/>
    <xf numFmtId="177" fontId="66" fillId="4" borderId="13" xfId="0" applyNumberFormat="1" applyFont="1" applyFill="1" applyBorder="1"/>
    <xf numFmtId="177" fontId="66" fillId="4" borderId="1" xfId="0" applyNumberFormat="1" applyFont="1" applyFill="1"/>
    <xf numFmtId="177" fontId="66" fillId="4" borderId="16" xfId="0" applyNumberFormat="1" applyFont="1" applyFill="1" applyBorder="1"/>
    <xf numFmtId="177" fontId="66" fillId="4" borderId="6" xfId="0" applyNumberFormat="1" applyFont="1" applyFill="1" applyBorder="1"/>
    <xf numFmtId="0" fontId="0" fillId="0" borderId="0" xfId="0" applyBorder="1"/>
    <xf numFmtId="0" fontId="12" fillId="0" borderId="0" xfId="0" applyFont="1" applyBorder="1" applyAlignment="1">
      <alignment horizontal="right" vertical="center" textRotation="90"/>
    </xf>
    <xf numFmtId="0" fontId="34" fillId="0" borderId="0" xfId="0" applyFont="1" applyBorder="1" applyAlignment="1">
      <alignment horizontal="center"/>
    </xf>
    <xf numFmtId="0" fontId="68" fillId="7" borderId="25" xfId="0" applyFont="1" applyFill="1" applyBorder="1" applyAlignment="1">
      <alignment vertical="top" wrapText="1"/>
    </xf>
    <xf numFmtId="0" fontId="67" fillId="7" borderId="25" xfId="0" applyFont="1" applyFill="1" applyBorder="1" applyAlignment="1">
      <alignment vertical="top" wrapText="1"/>
    </xf>
    <xf numFmtId="43" fontId="39" fillId="0" borderId="0" xfId="0" applyNumberFormat="1" applyFont="1" applyBorder="1"/>
    <xf numFmtId="185" fontId="9" fillId="4" borderId="2" xfId="0" applyNumberFormat="1" applyFont="1" applyFill="1" applyBorder="1" applyAlignment="1">
      <alignment horizontal="right"/>
    </xf>
    <xf numFmtId="186" fontId="9" fillId="0" borderId="0" xfId="0" applyNumberFormat="1" applyFont="1" applyBorder="1"/>
    <xf numFmtId="187" fontId="18" fillId="0" borderId="0" xfId="0" applyNumberFormat="1" applyFont="1" applyBorder="1" applyAlignment="1">
      <alignment horizontal="right"/>
    </xf>
    <xf numFmtId="187" fontId="18" fillId="0" borderId="8" xfId="0" applyNumberFormat="1" applyFont="1" applyBorder="1" applyAlignment="1">
      <alignment horizontal="right"/>
    </xf>
    <xf numFmtId="187" fontId="10" fillId="0" borderId="0" xfId="0" applyNumberFormat="1" applyFont="1" applyBorder="1" applyAlignment="1">
      <alignment horizontal="right"/>
    </xf>
    <xf numFmtId="188" fontId="10" fillId="0" borderId="0" xfId="0" applyNumberFormat="1" applyFont="1" applyBorder="1" applyAlignment="1">
      <alignment horizontal="right"/>
    </xf>
    <xf numFmtId="189" fontId="12" fillId="4" borderId="1" xfId="0" applyNumberFormat="1" applyFont="1" applyFill="1" applyAlignment="1">
      <alignment horizontal="center"/>
    </xf>
    <xf numFmtId="190" fontId="28" fillId="3" borderId="1" xfId="0" applyNumberFormat="1" applyFont="1" applyFill="1"/>
    <xf numFmtId="191" fontId="10" fillId="5" borderId="1" xfId="0" applyNumberFormat="1" applyFont="1" applyFill="1" applyAlignment="1">
      <alignment horizontal="right"/>
    </xf>
    <xf numFmtId="191" fontId="49" fillId="5" borderId="1" xfId="0" applyNumberFormat="1" applyFont="1" applyFill="1" applyAlignment="1">
      <alignment horizontal="right"/>
    </xf>
    <xf numFmtId="191" fontId="9" fillId="5" borderId="1" xfId="0" applyNumberFormat="1" applyFont="1" applyFill="1"/>
    <xf numFmtId="191" fontId="66" fillId="3" borderId="1" xfId="0" applyNumberFormat="1" applyFont="1" applyFill="1"/>
    <xf numFmtId="191" fontId="66" fillId="5" borderId="1" xfId="0" applyNumberFormat="1" applyFont="1" applyFill="1"/>
    <xf numFmtId="191" fontId="51" fillId="5" borderId="1" xfId="0" applyNumberFormat="1" applyFont="1" applyFill="1"/>
    <xf numFmtId="191" fontId="53" fillId="0" borderId="0" xfId="0" applyNumberFormat="1" applyFont="1" applyBorder="1"/>
    <xf numFmtId="185" fontId="54" fillId="4" borderId="1" xfId="0" applyNumberFormat="1" applyFont="1" applyFill="1"/>
    <xf numFmtId="192" fontId="28" fillId="3" borderId="1" xfId="0" applyNumberFormat="1" applyFont="1" applyFill="1"/>
    <xf numFmtId="192" fontId="10" fillId="0" borderId="0" xfId="0" applyNumberFormat="1" applyFont="1" applyBorder="1"/>
    <xf numFmtId="193" fontId="28" fillId="0" borderId="0" xfId="0" applyNumberFormat="1" applyFont="1" applyBorder="1"/>
    <xf numFmtId="193" fontId="10" fillId="0" borderId="0" xfId="0" applyNumberFormat="1" applyFont="1" applyBorder="1"/>
    <xf numFmtId="192" fontId="9" fillId="4" borderId="1" xfId="0" applyNumberFormat="1" applyFont="1" applyFill="1"/>
    <xf numFmtId="194" fontId="66" fillId="3" borderId="1" xfId="0" applyNumberFormat="1" applyFont="1" applyFill="1" applyAlignment="1">
      <alignment horizontal="right" vertical="center"/>
    </xf>
    <xf numFmtId="192" fontId="9" fillId="4" borderId="2" xfId="0" applyNumberFormat="1" applyFont="1" applyFill="1" applyBorder="1"/>
    <xf numFmtId="195" fontId="9" fillId="0" borderId="0" xfId="0" applyNumberFormat="1" applyFont="1" applyBorder="1"/>
    <xf numFmtId="196" fontId="9" fillId="0" borderId="0" xfId="0" applyNumberFormat="1" applyFont="1" applyBorder="1" applyAlignment="1">
      <alignment horizontal="center"/>
    </xf>
    <xf numFmtId="0" fontId="68" fillId="8" borderId="25" xfId="0" applyFont="1" applyFill="1" applyBorder="1" applyAlignment="1">
      <alignment vertical="top" wrapText="1"/>
    </xf>
    <xf numFmtId="0" fontId="67" fillId="8" borderId="25" xfId="0" applyFont="1" applyFill="1" applyBorder="1" applyAlignment="1">
      <alignment vertical="top" wrapText="1"/>
    </xf>
    <xf numFmtId="178" fontId="28" fillId="9" borderId="1" xfId="0" applyNumberFormat="1" applyFont="1" applyFill="1" applyAlignment="1">
      <alignment horizontal="right" vertical="center"/>
    </xf>
    <xf numFmtId="184" fontId="28" fillId="9" borderId="1" xfId="0" applyNumberFormat="1" applyFont="1" applyFill="1" applyAlignment="1">
      <alignment horizontal="right" vertical="center"/>
    </xf>
    <xf numFmtId="0" fontId="69" fillId="0" borderId="26" xfId="0" applyFont="1" applyBorder="1" applyAlignment="1">
      <alignment vertical="top" wrapText="1"/>
    </xf>
    <xf numFmtId="0" fontId="71" fillId="11" borderId="26" xfId="0" applyFont="1" applyFill="1" applyBorder="1" applyAlignment="1">
      <alignment vertical="top" wrapText="1"/>
    </xf>
    <xf numFmtId="0" fontId="71" fillId="0" borderId="26" xfId="0" applyFont="1" applyBorder="1" applyAlignment="1">
      <alignment vertical="top" wrapText="1"/>
    </xf>
    <xf numFmtId="0" fontId="71" fillId="12" borderId="26" xfId="0" applyFont="1" applyFill="1" applyBorder="1" applyAlignment="1">
      <alignment vertical="top" wrapText="1"/>
    </xf>
    <xf numFmtId="0" fontId="69" fillId="13" borderId="26" xfId="0" applyFont="1" applyFill="1" applyBorder="1" applyAlignment="1">
      <alignment vertical="top" wrapText="1"/>
    </xf>
    <xf numFmtId="0" fontId="70" fillId="10" borderId="26" xfId="0" applyFont="1" applyFill="1" applyBorder="1" applyAlignment="1">
      <alignment horizontal="center" vertical="top" wrapText="1"/>
    </xf>
    <xf numFmtId="0" fontId="13" fillId="2" borderId="1" xfId="0" applyFont="1" applyFill="1" applyAlignment="1">
      <alignment horizontal="center"/>
    </xf>
    <xf numFmtId="0" fontId="0" fillId="0" borderId="0" xfId="0" applyBorder="1"/>
    <xf numFmtId="0" fontId="12" fillId="0" borderId="1" xfId="0" applyFont="1" applyAlignment="1">
      <alignment horizontal="right" vertical="center" textRotation="90"/>
    </xf>
    <xf numFmtId="164" fontId="41" fillId="2" borderId="1" xfId="0" applyNumberFormat="1" applyFont="1" applyFill="1" applyAlignment="1">
      <alignment horizontal="center"/>
    </xf>
    <xf numFmtId="0" fontId="37" fillId="0" borderId="1" xfId="0" applyFont="1" applyAlignment="1">
      <alignment horizontal="left"/>
    </xf>
    <xf numFmtId="0" fontId="34" fillId="0" borderId="1" xfId="0" applyFont="1" applyAlignment="1">
      <alignment horizontal="center"/>
    </xf>
    <xf numFmtId="0" fontId="45" fillId="5" borderId="1" xfId="0" applyFont="1" applyFill="1" applyAlignment="1">
      <alignment horizontal="left"/>
    </xf>
    <xf numFmtId="0" fontId="43" fillId="2" borderId="1" xfId="0" applyFont="1" applyFill="1" applyAlignment="1">
      <alignment horizontal="left"/>
    </xf>
    <xf numFmtId="0" fontId="65" fillId="2" borderId="1" xfId="0" applyFont="1" applyFill="1" applyAlignment="1">
      <alignment horizontal="left"/>
    </xf>
    <xf numFmtId="0" fontId="70" fillId="10" borderId="2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tabSelected="1" workbookViewId="0">
      <pane ySplit="3" topLeftCell="A4" activePane="bottomLeft" state="frozen"/>
      <selection pane="bottomLeft" sqref="A1:D1"/>
    </sheetView>
  </sheetViews>
  <sheetFormatPr defaultRowHeight="12.75" x14ac:dyDescent="0.2"/>
  <cols>
    <col min="1" max="1" width="24.7109375" customWidth="1"/>
    <col min="2" max="2" width="30.7109375" customWidth="1"/>
    <col min="3" max="3" width="28.7109375" customWidth="1"/>
    <col min="4" max="4" width="92.7109375" customWidth="1"/>
  </cols>
  <sheetData>
    <row r="1" spans="1:4" x14ac:dyDescent="0.2">
      <c r="A1" s="301" t="s">
        <v>206</v>
      </c>
      <c r="B1" s="301"/>
      <c r="C1" s="301"/>
      <c r="D1" s="301"/>
    </row>
    <row r="2" spans="1:4" x14ac:dyDescent="0.2">
      <c r="A2" s="296"/>
      <c r="B2" s="296"/>
      <c r="C2" s="296"/>
      <c r="D2" s="296"/>
    </row>
    <row r="3" spans="1:4" x14ac:dyDescent="0.2">
      <c r="A3" s="297" t="s">
        <v>0</v>
      </c>
      <c r="B3" s="297" t="s">
        <v>1</v>
      </c>
      <c r="C3" s="297" t="s">
        <v>2</v>
      </c>
      <c r="D3" s="297" t="s">
        <v>3</v>
      </c>
    </row>
    <row r="4" spans="1:4" x14ac:dyDescent="0.2">
      <c r="A4" s="298" t="s">
        <v>4</v>
      </c>
      <c r="B4" s="296" t="s">
        <v>5</v>
      </c>
      <c r="C4" s="299" t="s">
        <v>6</v>
      </c>
      <c r="D4" s="300" t="s">
        <v>213</v>
      </c>
    </row>
    <row r="5" spans="1:4" ht="25.5" x14ac:dyDescent="0.2">
      <c r="A5" s="298" t="s">
        <v>7</v>
      </c>
      <c r="B5" s="296" t="s">
        <v>8</v>
      </c>
      <c r="C5" s="299" t="s">
        <v>9</v>
      </c>
      <c r="D5" s="300" t="s">
        <v>214</v>
      </c>
    </row>
    <row r="6" spans="1:4" x14ac:dyDescent="0.2">
      <c r="A6" s="298" t="s">
        <v>10</v>
      </c>
      <c r="B6" s="296" t="s">
        <v>207</v>
      </c>
      <c r="C6" s="299" t="s">
        <v>215</v>
      </c>
      <c r="D6" s="300" t="s">
        <v>216</v>
      </c>
    </row>
    <row r="7" spans="1:4" ht="25.5" x14ac:dyDescent="0.2">
      <c r="A7" s="298" t="s">
        <v>217</v>
      </c>
      <c r="B7" s="296" t="s">
        <v>218</v>
      </c>
      <c r="C7" s="299" t="s">
        <v>219</v>
      </c>
      <c r="D7" s="300" t="s">
        <v>220</v>
      </c>
    </row>
    <row r="8" spans="1:4" x14ac:dyDescent="0.2">
      <c r="A8" s="298" t="s">
        <v>208</v>
      </c>
      <c r="B8" s="296" t="s">
        <v>221</v>
      </c>
      <c r="C8" s="299" t="s">
        <v>222</v>
      </c>
      <c r="D8" s="300" t="s">
        <v>223</v>
      </c>
    </row>
    <row r="9" spans="1:4" x14ac:dyDescent="0.2">
      <c r="A9" s="298" t="s">
        <v>11</v>
      </c>
      <c r="B9" s="296" t="s">
        <v>12</v>
      </c>
      <c r="C9" s="299" t="s">
        <v>13</v>
      </c>
      <c r="D9" s="300" t="s">
        <v>224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15" width="13.7109375" style="261" customWidth="1"/>
    <col min="16" max="18" width="12.7109375" style="261" customWidth="1"/>
    <col min="19" max="19" width="9.5703125" style="261" customWidth="1"/>
    <col min="20" max="35" width="9.140625" style="261" customWidth="1"/>
  </cols>
  <sheetData>
    <row r="1" spans="1:35" ht="26.25" customHeight="1" x14ac:dyDescent="0.4">
      <c r="A1" s="1" t="s">
        <v>14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18" customHeight="1" x14ac:dyDescent="0.25">
      <c r="A2" s="7" t="s">
        <v>15</v>
      </c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2.75" customHeight="1" x14ac:dyDescent="0.2">
      <c r="A3" s="8" t="s">
        <v>17</v>
      </c>
      <c r="B3" s="3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9" t="str">
        <f>B4</f>
        <v xml:space="preserve">Operating Scenario </v>
      </c>
      <c r="N3" s="3"/>
      <c r="O3" s="10" t="str">
        <f>+CHOOSE(D4,'A1'!B10,'A1'!B11,'A1'!B12,'A1'!B13,'A1'!B14)</f>
        <v xml:space="preserve">   Base</v>
      </c>
      <c r="P3" s="5"/>
      <c r="Q3" s="5"/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ht="12.75" customHeight="1" x14ac:dyDescent="0.2">
      <c r="A4" s="5"/>
      <c r="B4" s="11" t="s">
        <v>19</v>
      </c>
      <c r="C4" s="12"/>
      <c r="D4" s="13">
        <v>1</v>
      </c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15" customHeight="1" x14ac:dyDescent="0.2">
      <c r="A5" s="14"/>
      <c r="B5" s="11" t="s">
        <v>20</v>
      </c>
      <c r="C5" s="12"/>
      <c r="D5" s="13" t="s">
        <v>21</v>
      </c>
      <c r="E5" s="302" t="s">
        <v>22</v>
      </c>
      <c r="F5" s="303"/>
      <c r="G5" s="303"/>
      <c r="H5" s="15" t="s">
        <v>23</v>
      </c>
      <c r="I5" s="14"/>
      <c r="J5" s="302" t="s">
        <v>24</v>
      </c>
      <c r="K5" s="303"/>
      <c r="L5" s="303"/>
      <c r="M5" s="303"/>
      <c r="N5" s="303"/>
      <c r="O5" s="15" t="s">
        <v>23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5" customHeight="1" x14ac:dyDescent="0.2">
      <c r="A6" s="14"/>
      <c r="B6" s="16"/>
      <c r="C6" s="14"/>
      <c r="D6" s="14"/>
      <c r="E6" s="17" t="s">
        <v>25</v>
      </c>
      <c r="F6" s="17" t="s">
        <v>26</v>
      </c>
      <c r="G6" s="17" t="s">
        <v>27</v>
      </c>
      <c r="H6" s="17" t="s">
        <v>28</v>
      </c>
      <c r="I6" s="18" t="s">
        <v>27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17" t="s">
        <v>34</v>
      </c>
      <c r="P6" s="14"/>
      <c r="Q6" s="14"/>
      <c r="R6" s="14"/>
      <c r="S6" s="19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12.75" customHeight="1" x14ac:dyDescent="0.2">
      <c r="A7" s="14"/>
      <c r="B7" s="14" t="s">
        <v>35</v>
      </c>
      <c r="C7" s="14"/>
      <c r="D7" s="14"/>
      <c r="E7" s="246">
        <v>52617900.827</v>
      </c>
      <c r="F7" s="246">
        <v>62848794.351000004</v>
      </c>
      <c r="G7" s="246">
        <v>70112825.100999996</v>
      </c>
      <c r="H7" s="21">
        <f>+IF(ISERROR((G7/E7)^(1/($G$6-$E$6))-1),"-",(G7/E7)^(1/($G$6-$E$6))-1)</f>
        <v>0.15433529363214937</v>
      </c>
      <c r="I7" s="20">
        <v>70112825.100999996</v>
      </c>
      <c r="J7" s="22">
        <f>I7*(1+J59)</f>
        <v>78526364.113120005</v>
      </c>
      <c r="K7" s="23">
        <f>J7*(1+K59)</f>
        <v>87164264.165563211</v>
      </c>
      <c r="L7" s="23">
        <f>K7*(1+L59)</f>
        <v>95880690.582119539</v>
      </c>
      <c r="M7" s="23">
        <f>L7*(1+M59)</f>
        <v>104509952.7345103</v>
      </c>
      <c r="N7" s="23">
        <f>M7*(1+N59)</f>
        <v>112870748.95327114</v>
      </c>
      <c r="O7" s="21">
        <f>+IF(ISERROR((N7/I7)^(1/($N$6-$I$6))-1),"-",(N7/I7)^(1/($N$6-$I$6))-1)</f>
        <v>9.9909081891574436E-2</v>
      </c>
      <c r="P7" s="14"/>
      <c r="Q7" s="14"/>
      <c r="R7" s="14"/>
      <c r="S7" s="14"/>
      <c r="T7" s="14"/>
      <c r="U7" s="14"/>
      <c r="V7" s="14"/>
      <c r="W7" s="14"/>
      <c r="X7" s="2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2.75" customHeight="1" x14ac:dyDescent="0.2">
      <c r="A8" s="5"/>
      <c r="B8" s="25" t="s">
        <v>36</v>
      </c>
      <c r="C8" s="5"/>
      <c r="D8" s="5"/>
      <c r="E8" s="26" t="s">
        <v>37</v>
      </c>
      <c r="F8" s="26">
        <f>+IF(ISERROR(F7/E7-1),0,F7/E7-1)</f>
        <v>0.19443750820918715</v>
      </c>
      <c r="G8" s="26">
        <f>+IF(ISERROR(G7/F7-1),0,G7/F7-1)</f>
        <v>0.11557947650406142</v>
      </c>
      <c r="H8" s="27"/>
      <c r="I8" s="26">
        <f>+IF(ISERROR(I7/G7-1),0,I7/G7-1)</f>
        <v>0</v>
      </c>
      <c r="J8" s="28">
        <f>+IF(ISERROR(J7/I7-1),0,J7/I7-1)</f>
        <v>0.12000000000000011</v>
      </c>
      <c r="K8" s="26">
        <f>+IF(ISERROR(K7/J7-1),0,K7/J7-1)</f>
        <v>0.1100000000000001</v>
      </c>
      <c r="L8" s="26">
        <f>+IF(ISERROR(L7/K7-1),0,L7/K7-1)</f>
        <v>0.10000000000000009</v>
      </c>
      <c r="M8" s="26">
        <f>+IF(ISERROR(M7/L7-1),0,M7/L7-1)</f>
        <v>9.000000000000008E-2</v>
      </c>
      <c r="N8" s="26">
        <f>+IF(ISERROR(N7/M7-1),0,N7/M7-1)</f>
        <v>8.0000000000000071E-2</v>
      </c>
      <c r="O8" s="27"/>
      <c r="P8" s="29"/>
      <c r="Q8" s="5"/>
      <c r="R8" s="5"/>
      <c r="S8" s="6"/>
      <c r="T8" s="6"/>
      <c r="U8" s="6"/>
      <c r="V8" s="6"/>
      <c r="W8" s="6"/>
      <c r="X8" s="30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15" customHeight="1" x14ac:dyDescent="0.2">
      <c r="A9" s="5"/>
      <c r="B9" s="5" t="s">
        <v>38</v>
      </c>
      <c r="C9" s="6"/>
      <c r="D9" s="6"/>
      <c r="E9" s="247">
        <v>32298347.383000001</v>
      </c>
      <c r="F9" s="247">
        <v>39150445.980999999</v>
      </c>
      <c r="G9" s="247">
        <v>44224295.588</v>
      </c>
      <c r="H9" s="21"/>
      <c r="I9" s="31">
        <v>44224295.588</v>
      </c>
      <c r="J9" s="32">
        <f>J7*J60</f>
        <v>49471609.391265601</v>
      </c>
      <c r="K9" s="32">
        <f>K7*K60</f>
        <v>54739157.895973697</v>
      </c>
      <c r="L9" s="32">
        <f>L7*L60</f>
        <v>60021312.304406829</v>
      </c>
      <c r="M9" s="32">
        <f>M7*M60</f>
        <v>65214210.506334431</v>
      </c>
      <c r="N9" s="32">
        <f>N7*N60</f>
        <v>70205605.84893465</v>
      </c>
      <c r="O9" s="21"/>
      <c r="P9" s="5"/>
      <c r="Q9" s="5"/>
      <c r="R9" s="5"/>
      <c r="S9" s="33"/>
      <c r="T9" s="6"/>
      <c r="U9" s="34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15" customHeight="1" x14ac:dyDescent="0.2">
      <c r="A10" s="5"/>
      <c r="B10" s="35" t="s">
        <v>39</v>
      </c>
      <c r="C10" s="6"/>
      <c r="D10" s="6"/>
      <c r="E10" s="23">
        <f>+E7-E9</f>
        <v>20319553.443999998</v>
      </c>
      <c r="F10" s="23">
        <f>+F7-F9</f>
        <v>23698348.370000005</v>
      </c>
      <c r="G10" s="23">
        <f>+G7-G9</f>
        <v>25888529.512999997</v>
      </c>
      <c r="H10" s="21">
        <f>+IF(ISERROR((G10/E10)^(1/($G$6-$E$6))-1),"-",(G10/E10)^(1/($G$6-$E$6))-1)</f>
        <v>0.12874700705291708</v>
      </c>
      <c r="I10" s="23">
        <f t="shared" ref="I10:N10" si="0">+I7-I9</f>
        <v>25888529.512999997</v>
      </c>
      <c r="J10" s="22">
        <f t="shared" si="0"/>
        <v>29054754.721854404</v>
      </c>
      <c r="K10" s="23">
        <f t="shared" si="0"/>
        <v>32425106.269589514</v>
      </c>
      <c r="L10" s="23">
        <f t="shared" si="0"/>
        <v>35859378.27771271</v>
      </c>
      <c r="M10" s="23">
        <f t="shared" si="0"/>
        <v>39295742.228175871</v>
      </c>
      <c r="N10" s="23">
        <f t="shared" si="0"/>
        <v>42665143.104336485</v>
      </c>
      <c r="O10" s="21">
        <f>+IF(ISERROR((N10/I10)^(1/($N$6-$I$6))-1),"-",(N10/I10)^(1/($N$6-$I$6))-1)</f>
        <v>0.10507858964588879</v>
      </c>
      <c r="P10" s="5"/>
      <c r="Q10" s="5"/>
      <c r="R10" s="5"/>
      <c r="S10" s="33"/>
      <c r="T10" s="6"/>
      <c r="U10" s="34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12.75" customHeight="1" x14ac:dyDescent="0.2">
      <c r="A11" s="5"/>
      <c r="B11" s="25" t="s">
        <v>40</v>
      </c>
      <c r="C11" s="5"/>
      <c r="D11" s="5"/>
      <c r="E11" s="26">
        <f>+IF(ISERROR(E10/E7),0,E10/E7)</f>
        <v>0.38617187543850778</v>
      </c>
      <c r="F11" s="26">
        <f>+IF(ISERROR(F10/F7),0,F10/F7)</f>
        <v>0.37706925987551476</v>
      </c>
      <c r="G11" s="26">
        <f>+IF(ISERROR(G10/G7),0,G10/G7)</f>
        <v>0.36924099800153048</v>
      </c>
      <c r="H11" s="21"/>
      <c r="I11" s="26">
        <f t="shared" ref="I11:N11" si="1">+IF(ISERROR(I10/I7),0,I10/I7)</f>
        <v>0.36924099800153048</v>
      </c>
      <c r="J11" s="28">
        <f t="shared" si="1"/>
        <v>0.37000000000000005</v>
      </c>
      <c r="K11" s="26">
        <f t="shared" si="1"/>
        <v>0.372</v>
      </c>
      <c r="L11" s="26">
        <f t="shared" si="1"/>
        <v>0.374</v>
      </c>
      <c r="M11" s="26">
        <f t="shared" si="1"/>
        <v>0.376</v>
      </c>
      <c r="N11" s="26">
        <f t="shared" si="1"/>
        <v>0.37799999999999995</v>
      </c>
      <c r="O11" s="26"/>
      <c r="P11" s="29"/>
      <c r="Q11" s="5"/>
      <c r="R11" s="5"/>
      <c r="S11" s="6"/>
      <c r="T11" s="6"/>
      <c r="U11" s="6"/>
      <c r="V11" s="6"/>
      <c r="W11" s="6"/>
      <c r="X11" s="30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15" customHeight="1" x14ac:dyDescent="0.2">
      <c r="A12" s="5"/>
      <c r="B12" s="5" t="s">
        <v>41</v>
      </c>
      <c r="C12" s="6"/>
      <c r="D12" s="6"/>
      <c r="E12" s="247">
        <v>11867925.545</v>
      </c>
      <c r="F12" s="247">
        <v>13190000.586999999</v>
      </c>
      <c r="G12" s="247">
        <v>14899986.038000001</v>
      </c>
      <c r="H12" s="21"/>
      <c r="I12" s="31">
        <v>14899986.038000001</v>
      </c>
      <c r="J12" s="32">
        <f>J7*J61</f>
        <v>14527377.3609272</v>
      </c>
      <c r="K12" s="32">
        <f>K7*K61</f>
        <v>16038224.60646363</v>
      </c>
      <c r="L12" s="32">
        <f>L7*L61</f>
        <v>17546166.376527876</v>
      </c>
      <c r="M12" s="32">
        <f>M7*M61</f>
        <v>19020811.397680875</v>
      </c>
      <c r="N12" s="32">
        <f>N7*N61</f>
        <v>20429605.560542073</v>
      </c>
      <c r="O12" s="21"/>
      <c r="P12" s="5"/>
      <c r="Q12" s="5"/>
      <c r="R12" s="5"/>
      <c r="S12" s="33"/>
      <c r="T12" s="6"/>
      <c r="U12" s="34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2.75" customHeight="1" x14ac:dyDescent="0.2">
      <c r="A13" s="14"/>
      <c r="B13" s="11" t="s">
        <v>42</v>
      </c>
      <c r="C13" s="11"/>
      <c r="D13" s="11"/>
      <c r="E13" s="23">
        <f>E10-E12</f>
        <v>8451627.8989999983</v>
      </c>
      <c r="F13" s="23">
        <f>F10-F12</f>
        <v>10508347.783000005</v>
      </c>
      <c r="G13" s="23">
        <f>G10-G12</f>
        <v>10988543.474999996</v>
      </c>
      <c r="H13" s="21">
        <f>+IF(ISERROR((G13/E13)^(1/($G$6-$E$6))-1),"-",(G13/E13)^(1/($G$6-$E$6))-1)</f>
        <v>0.14024947604520688</v>
      </c>
      <c r="I13" s="23">
        <f t="shared" ref="I13:N13" si="2">I10-I12</f>
        <v>10988543.474999996</v>
      </c>
      <c r="J13" s="22">
        <f t="shared" si="2"/>
        <v>14527377.360927204</v>
      </c>
      <c r="K13" s="23">
        <f t="shared" si="2"/>
        <v>16386881.663125884</v>
      </c>
      <c r="L13" s="23">
        <f t="shared" si="2"/>
        <v>18313211.901184835</v>
      </c>
      <c r="M13" s="23">
        <f t="shared" si="2"/>
        <v>20274930.830494996</v>
      </c>
      <c r="N13" s="23">
        <f t="shared" si="2"/>
        <v>22235537.543794412</v>
      </c>
      <c r="O13" s="21">
        <f>+IF(ISERROR((N13/I13)^(1/($N$6-$I$6))-1),"-",(N13/I13)^(1/($N$6-$I$6))-1)</f>
        <v>0.15138747402371089</v>
      </c>
      <c r="P13" s="14"/>
      <c r="Q13" s="14"/>
      <c r="R13" s="14"/>
      <c r="S13" s="14"/>
      <c r="T13" s="14"/>
      <c r="U13" s="14"/>
      <c r="V13" s="14"/>
      <c r="W13" s="14"/>
      <c r="X13" s="36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2.75" customHeight="1" x14ac:dyDescent="0.2">
      <c r="A14" s="5"/>
      <c r="B14" s="25" t="s">
        <v>40</v>
      </c>
      <c r="C14" s="5"/>
      <c r="D14" s="5"/>
      <c r="E14" s="26">
        <f>+IF(ISERROR(E13/E7),0,E13/E7)</f>
        <v>0.16062267338994995</v>
      </c>
      <c r="F14" s="26">
        <f>+IF(ISERROR(F13/F7),0,F13/F7)</f>
        <v>0.16720046727249277</v>
      </c>
      <c r="G14" s="26">
        <f>+IF(ISERROR(G13/G7),0,G13/G7)</f>
        <v>0.15672658260697114</v>
      </c>
      <c r="H14" s="21"/>
      <c r="I14" s="26">
        <f t="shared" ref="I14:N14" si="3">+IF(ISERROR(I13/I7),0,I13/I7)</f>
        <v>0.15672658260697114</v>
      </c>
      <c r="J14" s="28">
        <f t="shared" si="3"/>
        <v>0.18500000000000003</v>
      </c>
      <c r="K14" s="26">
        <f t="shared" si="3"/>
        <v>0.188</v>
      </c>
      <c r="L14" s="26">
        <f t="shared" si="3"/>
        <v>0.19100000000000003</v>
      </c>
      <c r="M14" s="26">
        <f t="shared" si="3"/>
        <v>0.19399999999999998</v>
      </c>
      <c r="N14" s="26">
        <f t="shared" si="3"/>
        <v>0.19699999999999998</v>
      </c>
      <c r="O14" s="26"/>
      <c r="P14" s="29"/>
      <c r="Q14" s="5"/>
      <c r="R14" s="5"/>
      <c r="S14" s="6"/>
      <c r="T14" s="6"/>
      <c r="U14" s="6"/>
      <c r="V14" s="6"/>
      <c r="W14" s="6"/>
      <c r="X14" s="30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15" customHeight="1" x14ac:dyDescent="0.2">
      <c r="A15" s="5"/>
      <c r="B15" s="37" t="s">
        <v>43</v>
      </c>
      <c r="C15" s="5"/>
      <c r="D15" s="5"/>
      <c r="E15" s="247">
        <v>2286514.159</v>
      </c>
      <c r="F15" s="247">
        <v>2535298.4759999998</v>
      </c>
      <c r="G15" s="247">
        <v>2914178.361</v>
      </c>
      <c r="H15" s="21"/>
      <c r="I15" s="31">
        <v>2914178.361</v>
      </c>
      <c r="J15" s="32">
        <f>J7*J62</f>
        <v>3219580.9286379204</v>
      </c>
      <c r="K15" s="32">
        <f>K7*K62</f>
        <v>3486570.5666225287</v>
      </c>
      <c r="L15" s="32">
        <f>L7*L62</f>
        <v>3739346.932702662</v>
      </c>
      <c r="M15" s="32">
        <f>M7*M62</f>
        <v>3971378.2039113916</v>
      </c>
      <c r="N15" s="32">
        <f>N7*N62</f>
        <v>4176217.7112710318</v>
      </c>
      <c r="O15" s="21"/>
      <c r="P15" s="5"/>
      <c r="Q15" s="5"/>
      <c r="R15" s="5"/>
      <c r="S15" s="6"/>
      <c r="T15" s="38"/>
      <c r="U15" s="39"/>
      <c r="V15" s="40"/>
      <c r="W15" s="41"/>
      <c r="X15" s="42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12.75" customHeight="1" x14ac:dyDescent="0.2">
      <c r="A16" s="14"/>
      <c r="B16" s="14" t="s">
        <v>44</v>
      </c>
      <c r="C16" s="14"/>
      <c r="D16" s="14"/>
      <c r="E16" s="23">
        <f>+E13-E15</f>
        <v>6165113.7399999984</v>
      </c>
      <c r="F16" s="23">
        <f>+F13-F15</f>
        <v>7973049.3070000056</v>
      </c>
      <c r="G16" s="23">
        <f>+G13-G15</f>
        <v>8074365.1139999963</v>
      </c>
      <c r="H16" s="21">
        <f>+IF(ISERROR((G16/E16)^(1/($G$6-$E$6))-1),"-",(G16/E16)^(1/($G$6-$E$6))-1)</f>
        <v>0.14441527339025306</v>
      </c>
      <c r="I16" s="23">
        <f t="shared" ref="I16:N16" si="4">+I13-I15</f>
        <v>8074365.1139999963</v>
      </c>
      <c r="J16" s="22">
        <f t="shared" si="4"/>
        <v>11307796.432289284</v>
      </c>
      <c r="K16" s="23">
        <f t="shared" si="4"/>
        <v>12900311.096503355</v>
      </c>
      <c r="L16" s="23">
        <f t="shared" si="4"/>
        <v>14573864.968482172</v>
      </c>
      <c r="M16" s="23">
        <f t="shared" si="4"/>
        <v>16303552.626583604</v>
      </c>
      <c r="N16" s="23">
        <f t="shared" si="4"/>
        <v>18059319.832523379</v>
      </c>
      <c r="O16" s="21">
        <f>+IF(ISERROR((N16/I16)^(1/($N$6-$I$6))-1),"-",(N16/I16)^(1/($N$6-$I$6))-1)</f>
        <v>0.17467736706946413</v>
      </c>
      <c r="P16" s="14"/>
      <c r="Q16" s="14"/>
      <c r="R16" s="14"/>
      <c r="S16" s="14"/>
      <c r="T16" s="14"/>
      <c r="U16" s="14"/>
      <c r="V16" s="14"/>
      <c r="W16" s="14"/>
      <c r="X16" s="2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2.75" customHeight="1" x14ac:dyDescent="0.2">
      <c r="A17" s="5"/>
      <c r="B17" s="25" t="s">
        <v>40</v>
      </c>
      <c r="C17" s="5"/>
      <c r="D17" s="5"/>
      <c r="E17" s="26">
        <f>+IF(ISERROR(E16/E7),0,E16/E7)</f>
        <v>0.11716761108106527</v>
      </c>
      <c r="F17" s="26">
        <f>+IF(ISERROR(F16/F7),0,F16/F7)</f>
        <v>0.12686081553882894</v>
      </c>
      <c r="G17" s="26">
        <f>+IF(ISERROR(G16/G7),0,G16/G7)</f>
        <v>0.11516245569007651</v>
      </c>
      <c r="H17" s="21"/>
      <c r="I17" s="26">
        <f t="shared" ref="I17:N17" si="5">+IF(ISERROR(I16/I7),0,I16/I7)</f>
        <v>0.11516245569007651</v>
      </c>
      <c r="J17" s="28">
        <f t="shared" si="5"/>
        <v>0.14400000000000004</v>
      </c>
      <c r="K17" s="26">
        <f t="shared" si="5"/>
        <v>0.14799999999999999</v>
      </c>
      <c r="L17" s="26">
        <f t="shared" si="5"/>
        <v>0.15200000000000002</v>
      </c>
      <c r="M17" s="26">
        <f t="shared" si="5"/>
        <v>0.15599999999999997</v>
      </c>
      <c r="N17" s="26">
        <f t="shared" si="5"/>
        <v>0.15999999999999998</v>
      </c>
      <c r="O17" s="26"/>
      <c r="P17" s="29"/>
      <c r="Q17" s="5"/>
      <c r="R17" s="5"/>
      <c r="S17" s="6"/>
      <c r="T17" s="6"/>
      <c r="U17" s="6"/>
      <c r="V17" s="6"/>
      <c r="W17" s="6"/>
      <c r="X17" s="30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5" customHeight="1" x14ac:dyDescent="0.2">
      <c r="A18" s="5"/>
      <c r="B18" s="5" t="s">
        <v>45</v>
      </c>
      <c r="C18" s="5"/>
      <c r="D18" s="5"/>
      <c r="E18" s="32">
        <f>+E16*E64</f>
        <v>947882.33285199676</v>
      </c>
      <c r="F18" s="32">
        <f>+F16*F64</f>
        <v>1182844.2699819931</v>
      </c>
      <c r="G18" s="32">
        <f>+G16*G64</f>
        <v>1121240.0938480932</v>
      </c>
      <c r="H18" s="21"/>
      <c r="I18" s="43">
        <f t="shared" ref="I18:N18" si="6">+I16*I64</f>
        <v>1614873.0227999995</v>
      </c>
      <c r="J18" s="32">
        <f t="shared" si="6"/>
        <v>2261559.2864578567</v>
      </c>
      <c r="K18" s="32">
        <f t="shared" si="6"/>
        <v>2580062.219300671</v>
      </c>
      <c r="L18" s="32">
        <f t="shared" si="6"/>
        <v>2914772.9936964344</v>
      </c>
      <c r="M18" s="32">
        <f t="shared" si="6"/>
        <v>3260710.5253167208</v>
      </c>
      <c r="N18" s="32">
        <f t="shared" si="6"/>
        <v>3611863.9665046763</v>
      </c>
      <c r="O18" s="21"/>
      <c r="P18" s="5"/>
      <c r="Q18" s="5"/>
      <c r="R18" s="5"/>
      <c r="S18" s="6"/>
      <c r="T18" s="6"/>
      <c r="U18" s="6"/>
      <c r="V18" s="6"/>
      <c r="W18" s="6"/>
      <c r="X18" s="42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2.75" customHeight="1" x14ac:dyDescent="0.2">
      <c r="A19" s="14"/>
      <c r="B19" s="11" t="s">
        <v>46</v>
      </c>
      <c r="C19" s="11"/>
      <c r="D19" s="11"/>
      <c r="E19" s="23">
        <f>+E16-E18</f>
        <v>5217231.4071480017</v>
      </c>
      <c r="F19" s="23">
        <f>+F16-F18</f>
        <v>6790205.0370180123</v>
      </c>
      <c r="G19" s="23">
        <f>+G16-G18</f>
        <v>6953125.0201519029</v>
      </c>
      <c r="H19" s="21">
        <f>+IF(ISERROR((G19/E19)^(1/($G$6-$E$6))-1),"-",(G19/E19)^(1/($G$6-$E$6))-1)</f>
        <v>0.15443628643864882</v>
      </c>
      <c r="I19" s="23">
        <f t="shared" ref="I19:N19" si="7">+I16-I18</f>
        <v>6459492.0911999969</v>
      </c>
      <c r="J19" s="22">
        <f t="shared" si="7"/>
        <v>9046237.1458314266</v>
      </c>
      <c r="K19" s="23">
        <f t="shared" si="7"/>
        <v>10320248.877202684</v>
      </c>
      <c r="L19" s="23">
        <f t="shared" si="7"/>
        <v>11659091.974785738</v>
      </c>
      <c r="M19" s="23">
        <f t="shared" si="7"/>
        <v>13042842.101266883</v>
      </c>
      <c r="N19" s="23">
        <f t="shared" si="7"/>
        <v>14447455.866018703</v>
      </c>
      <c r="O19" s="21">
        <f>+IF(ISERROR((N19/I19)^(1/($N$6-$I$6))-1),"-",(N19/I19)^(1/($N$6-$I$6))-1)</f>
        <v>0.17467736706946413</v>
      </c>
      <c r="P19" s="14"/>
      <c r="Q19" s="14"/>
      <c r="R19" s="14"/>
      <c r="S19" s="14"/>
      <c r="T19" s="14"/>
      <c r="U19" s="14"/>
      <c r="V19" s="14"/>
      <c r="W19" s="14"/>
      <c r="X19" s="36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ht="3.75" customHeight="1" x14ac:dyDescent="0.2">
      <c r="A20" s="5"/>
      <c r="B20" s="5"/>
      <c r="C20" s="5"/>
      <c r="D20" s="5"/>
      <c r="E20" s="12"/>
      <c r="F20" s="12"/>
      <c r="G20" s="12"/>
      <c r="H20" s="6"/>
      <c r="I20" s="44"/>
      <c r="J20" s="12"/>
      <c r="K20" s="12"/>
      <c r="L20" s="12"/>
      <c r="M20" s="12"/>
      <c r="N20" s="12"/>
      <c r="O20" s="21"/>
      <c r="P20" s="5"/>
      <c r="Q20" s="5"/>
      <c r="R20" s="5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12.75" customHeight="1" x14ac:dyDescent="0.2">
      <c r="A21" s="5"/>
      <c r="B21" s="5" t="s">
        <v>47</v>
      </c>
      <c r="C21" s="5"/>
      <c r="D21" s="5"/>
      <c r="E21" s="45">
        <f>E15</f>
        <v>2286514.159</v>
      </c>
      <c r="F21" s="45">
        <f>F15</f>
        <v>2535298.4759999998</v>
      </c>
      <c r="G21" s="45">
        <f>G15</f>
        <v>2914178.361</v>
      </c>
      <c r="H21" s="6"/>
      <c r="I21" s="46">
        <f t="shared" ref="I21:N21" si="8">I15</f>
        <v>2914178.361</v>
      </c>
      <c r="J21" s="45">
        <f t="shared" si="8"/>
        <v>3219580.9286379204</v>
      </c>
      <c r="K21" s="45">
        <f t="shared" si="8"/>
        <v>3486570.5666225287</v>
      </c>
      <c r="L21" s="45">
        <f t="shared" si="8"/>
        <v>3739346.932702662</v>
      </c>
      <c r="M21" s="45">
        <f t="shared" si="8"/>
        <v>3971378.2039113916</v>
      </c>
      <c r="N21" s="45">
        <f t="shared" si="8"/>
        <v>4176217.7112710318</v>
      </c>
      <c r="O21" s="21"/>
      <c r="P21" s="5"/>
      <c r="Q21" s="5"/>
      <c r="R21" s="5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2.75" customHeight="1" x14ac:dyDescent="0.2">
      <c r="A22" s="5"/>
      <c r="B22" s="5" t="s">
        <v>48</v>
      </c>
      <c r="C22" s="5"/>
      <c r="D22" s="5"/>
      <c r="E22" s="248">
        <v>-3978252.0819999999</v>
      </c>
      <c r="F22" s="248">
        <v>-3275312.3259999999</v>
      </c>
      <c r="G22" s="248">
        <v>-5097919.3499999996</v>
      </c>
      <c r="H22" s="6"/>
      <c r="I22" s="47">
        <v>-5097919.3499999996</v>
      </c>
      <c r="J22" s="48">
        <f>-(J7*J63)</f>
        <v>-3926318.2056560004</v>
      </c>
      <c r="K22" s="48">
        <f>-(K7*K63)</f>
        <v>-4183884.679947034</v>
      </c>
      <c r="L22" s="48">
        <f>-(L7*L63)</f>
        <v>-4410511.7667774986</v>
      </c>
      <c r="M22" s="48">
        <f>-(M7*M63)</f>
        <v>-4598437.9203184526</v>
      </c>
      <c r="N22" s="48">
        <f>-(N7*N63)</f>
        <v>-4740571.4560373882</v>
      </c>
      <c r="O22" s="21"/>
      <c r="P22" s="5"/>
      <c r="Q22" s="5"/>
      <c r="R22" s="5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15" customHeight="1" x14ac:dyDescent="0.2">
      <c r="A23" s="5"/>
      <c r="B23" s="5" t="s">
        <v>49</v>
      </c>
      <c r="C23" s="5"/>
      <c r="D23" s="5"/>
      <c r="E23" s="32"/>
      <c r="F23" s="32"/>
      <c r="G23" s="32"/>
      <c r="H23" s="32"/>
      <c r="I23" s="49"/>
      <c r="J23" s="50">
        <f>NWC!I26</f>
        <v>-733063.16911152005</v>
      </c>
      <c r="K23" s="50">
        <f>NWC!J26</f>
        <v>-757059.16558811069</v>
      </c>
      <c r="L23" s="50">
        <f>NWC!K26</f>
        <v>-765178.19227038324</v>
      </c>
      <c r="M23" s="50">
        <f>NWC!L26</f>
        <v>-758880.27024377137</v>
      </c>
      <c r="N23" s="50">
        <f>NWC!M26</f>
        <v>-736754.99899008125</v>
      </c>
      <c r="O23" s="21"/>
      <c r="P23" s="5"/>
      <c r="Q23" s="5"/>
      <c r="R23" s="5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3.75" customHeight="1" x14ac:dyDescent="0.2">
      <c r="A24" s="5"/>
      <c r="B24" s="5"/>
      <c r="C24" s="5"/>
      <c r="D24" s="5"/>
      <c r="E24" s="32"/>
      <c r="F24" s="32"/>
      <c r="G24" s="32"/>
      <c r="H24" s="32"/>
      <c r="I24" s="49"/>
      <c r="J24" s="32"/>
      <c r="K24" s="32"/>
      <c r="L24" s="51"/>
      <c r="M24" s="51"/>
      <c r="N24" s="51"/>
      <c r="O24" s="21"/>
      <c r="P24" s="5"/>
      <c r="Q24" s="5"/>
      <c r="R24" s="5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2.75" customHeight="1" x14ac:dyDescent="0.2">
      <c r="A25" s="11"/>
      <c r="B25" s="11" t="s">
        <v>50</v>
      </c>
      <c r="C25" s="11"/>
      <c r="D25" s="11"/>
      <c r="E25" s="52"/>
      <c r="F25" s="52"/>
      <c r="G25" s="52"/>
      <c r="H25" s="52"/>
      <c r="I25" s="21"/>
      <c r="J25" s="23">
        <f>+J19+SUM(J21:J23)</f>
        <v>7606436.699701827</v>
      </c>
      <c r="K25" s="23">
        <f>+K19+SUM(K21:K23)</f>
        <v>8865875.5982900672</v>
      </c>
      <c r="L25" s="23">
        <f>+L19+SUM(L21:L23)</f>
        <v>10222748.948440518</v>
      </c>
      <c r="M25" s="23">
        <f>+M19+SUM(M21:M23)</f>
        <v>11656902.114616051</v>
      </c>
      <c r="N25" s="23">
        <f>+N19+SUM(N21:N23)</f>
        <v>13146347.122262266</v>
      </c>
      <c r="O25" s="2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ht="12.75" customHeight="1" x14ac:dyDescent="0.2">
      <c r="A26" s="11"/>
      <c r="B26" s="53" t="s">
        <v>51</v>
      </c>
      <c r="C26" s="11"/>
      <c r="D26" s="11"/>
      <c r="E26" s="294">
        <v>0.105</v>
      </c>
      <c r="F26" s="11"/>
      <c r="G26" s="55"/>
      <c r="H26" s="55"/>
      <c r="I26" s="21"/>
      <c r="J26" s="56"/>
      <c r="K26" s="56"/>
      <c r="L26" s="56"/>
      <c r="M26" s="56"/>
      <c r="N26" s="56"/>
      <c r="O26" s="21"/>
      <c r="P26" s="57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12.75" customHeight="1" x14ac:dyDescent="0.2">
      <c r="A27" s="11"/>
      <c r="B27" s="53" t="s">
        <v>52</v>
      </c>
      <c r="C27" s="11"/>
      <c r="D27" s="11"/>
      <c r="E27" s="57"/>
      <c r="F27" s="52"/>
      <c r="G27" s="52"/>
      <c r="H27" s="52"/>
      <c r="I27" s="21"/>
      <c r="J27" s="56">
        <f>IF($D$5="Y",J6-$I$6-0.5,J6-$I$6)</f>
        <v>0.5</v>
      </c>
      <c r="K27" s="56">
        <f>IF($D$5="Y",K6-$I$6-0.5,K6-$I$6)</f>
        <v>1.5</v>
      </c>
      <c r="L27" s="56">
        <f>IF($D$5="Y",L6-$I$6-0.5,L6-$I$6)</f>
        <v>2.5</v>
      </c>
      <c r="M27" s="56">
        <f>IF($D$5="Y",M6-$I$6-0.5,M6-$I$6)</f>
        <v>3.5</v>
      </c>
      <c r="N27" s="56">
        <f>IF($D$5="Y",N6-$I$6-0.5,N6-$I$6)</f>
        <v>4.5</v>
      </c>
      <c r="O27" s="2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15" customHeight="1" x14ac:dyDescent="0.2">
      <c r="A28" s="5"/>
      <c r="B28" s="53" t="s">
        <v>53</v>
      </c>
      <c r="C28" s="5"/>
      <c r="D28" s="5"/>
      <c r="E28" s="5"/>
      <c r="F28" s="5"/>
      <c r="G28" s="5"/>
      <c r="H28" s="5"/>
      <c r="I28" s="58"/>
      <c r="J28" s="59">
        <f>1/((1+$E$26)^(J27))</f>
        <v>0.95130298830898818</v>
      </c>
      <c r="K28" s="59">
        <f>1/((1+$E$26)^(K27))</f>
        <v>0.86090768172759113</v>
      </c>
      <c r="L28" s="59">
        <f>1/((1+$E$26)^(L27))</f>
        <v>0.77910197441410955</v>
      </c>
      <c r="M28" s="59">
        <f>1/((1+$E$26)^(M27))</f>
        <v>0.70506966010326666</v>
      </c>
      <c r="N28" s="59">
        <f>1/((1+$E$26)^(N27))</f>
        <v>0.63807209059119152</v>
      </c>
      <c r="O28" s="60"/>
      <c r="P28" s="21"/>
      <c r="Q28" s="5"/>
      <c r="R28" s="5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2.75" customHeight="1" x14ac:dyDescent="0.2">
      <c r="A29" s="5"/>
      <c r="B29" s="61" t="s">
        <v>54</v>
      </c>
      <c r="C29" s="62"/>
      <c r="D29" s="62"/>
      <c r="E29" s="63"/>
      <c r="F29" s="62"/>
      <c r="G29" s="62"/>
      <c r="H29" s="64"/>
      <c r="I29" s="65"/>
      <c r="J29" s="66">
        <f>+J25*J28</f>
        <v>7236025.9628095059</v>
      </c>
      <c r="K29" s="66">
        <f>+K25*K28</f>
        <v>7632700.4078091215</v>
      </c>
      <c r="L29" s="66">
        <f>+L25*L28</f>
        <v>7964563.8896697704</v>
      </c>
      <c r="M29" s="66">
        <f>+M25*M28</f>
        <v>8218928.01180939</v>
      </c>
      <c r="N29" s="66">
        <f>+N25*N28</f>
        <v>8388317.1919393782</v>
      </c>
      <c r="O29" s="52"/>
      <c r="P29" s="21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2.75" customHeight="1" x14ac:dyDescent="0.2">
      <c r="A30" s="5"/>
      <c r="B30" s="12"/>
      <c r="C30" s="12"/>
      <c r="D30" s="12"/>
      <c r="E30" s="67"/>
      <c r="F30" s="12"/>
      <c r="G30" s="12"/>
      <c r="H30" s="55"/>
      <c r="I30" s="49"/>
      <c r="J30" s="55"/>
      <c r="K30" s="55"/>
      <c r="L30" s="55"/>
      <c r="M30" s="55"/>
      <c r="N30" s="55"/>
      <c r="O30" s="55"/>
      <c r="P30" s="21"/>
      <c r="Q30" s="4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ht="12.75" customHeight="1" x14ac:dyDescent="0.2">
      <c r="A31" s="5"/>
      <c r="B31" s="12"/>
      <c r="C31" s="12"/>
      <c r="D31" s="12"/>
      <c r="E31" s="12"/>
      <c r="F31" s="12"/>
      <c r="G31" s="12"/>
      <c r="H31" s="12"/>
      <c r="I31" s="49"/>
      <c r="J31" s="12"/>
      <c r="K31" s="12"/>
      <c r="L31" s="68"/>
      <c r="M31" s="12"/>
      <c r="N31" s="5"/>
      <c r="O31" s="5"/>
      <c r="P31" s="58"/>
      <c r="Q31" s="5"/>
      <c r="R31" s="5"/>
      <c r="S31" s="5"/>
      <c r="T31" s="69"/>
      <c r="U31" s="70"/>
      <c r="V31" s="70"/>
      <c r="W31" s="70"/>
      <c r="X31" s="70"/>
      <c r="Y31" s="71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ht="15" customHeight="1" x14ac:dyDescent="0.2">
      <c r="A32" s="5"/>
      <c r="B32" s="302" t="s">
        <v>55</v>
      </c>
      <c r="C32" s="303"/>
      <c r="D32" s="303"/>
      <c r="E32" s="303"/>
      <c r="F32" s="5"/>
      <c r="G32" s="302" t="s">
        <v>56</v>
      </c>
      <c r="H32" s="303"/>
      <c r="I32" s="303"/>
      <c r="J32" s="303"/>
      <c r="K32" s="5"/>
      <c r="L32" s="302" t="s">
        <v>57</v>
      </c>
      <c r="M32" s="303"/>
      <c r="N32" s="303"/>
      <c r="O32" s="303"/>
      <c r="P32" s="5"/>
      <c r="Q32" s="72"/>
      <c r="R32" s="5"/>
      <c r="S32" s="5"/>
      <c r="T32" s="5"/>
      <c r="U32" s="263"/>
      <c r="V32" s="263"/>
      <c r="W32" s="263"/>
      <c r="X32" s="263"/>
      <c r="Y32" s="263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ht="12.75" customHeight="1" x14ac:dyDescent="0.2">
      <c r="A33" s="5"/>
      <c r="B33" s="14" t="s">
        <v>58</v>
      </c>
      <c r="C33" s="14"/>
      <c r="D33" s="14"/>
      <c r="E33" s="23">
        <f>+SUM(J29:N29)</f>
        <v>39440535.464037165</v>
      </c>
      <c r="F33" s="5"/>
      <c r="G33" s="5" t="s">
        <v>55</v>
      </c>
      <c r="H33" s="5"/>
      <c r="I33" s="58"/>
      <c r="J33" s="73">
        <f>+E43</f>
        <v>154164769.97630683</v>
      </c>
      <c r="K33" s="5"/>
      <c r="L33" s="5" t="str">
        <f>"Terminal Year Free Cash Flow ("&amp;N6&amp;"E)"</f>
        <v>Terminal Year Free Cash Flow (2030E)</v>
      </c>
      <c r="M33" s="5"/>
      <c r="N33" s="5"/>
      <c r="O33" s="73">
        <f>+N25</f>
        <v>13146347.122262266</v>
      </c>
      <c r="P33" s="74"/>
      <c r="Q33" s="5"/>
      <c r="R33" s="5"/>
      <c r="S33" s="5"/>
      <c r="T33" s="75"/>
      <c r="U33" s="76"/>
      <c r="V33" s="76"/>
      <c r="W33" s="77"/>
      <c r="X33" s="76"/>
      <c r="Y33" s="76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ht="12.75" customHeight="1" x14ac:dyDescent="0.2">
      <c r="A34" s="5"/>
      <c r="B34" s="78"/>
      <c r="C34" s="5"/>
      <c r="D34" s="5"/>
      <c r="E34" s="79"/>
      <c r="F34" s="5"/>
      <c r="G34" s="5" t="s">
        <v>59</v>
      </c>
      <c r="H34" s="5"/>
      <c r="I34" s="5"/>
      <c r="J34" s="247">
        <v>-21073487.486000001</v>
      </c>
      <c r="K34" s="5"/>
      <c r="L34" s="5" t="s">
        <v>60</v>
      </c>
      <c r="M34" s="5"/>
      <c r="N34" s="5"/>
      <c r="O34" s="39">
        <f>+E26</f>
        <v>0.105</v>
      </c>
      <c r="P34" s="57"/>
      <c r="Q34" s="5"/>
      <c r="R34" s="5"/>
      <c r="S34" s="304"/>
      <c r="T34" s="80"/>
      <c r="U34" s="81"/>
      <c r="V34" s="81"/>
      <c r="W34" s="81"/>
      <c r="X34" s="81"/>
      <c r="Y34" s="81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ht="15" customHeight="1" x14ac:dyDescent="0.2">
      <c r="A35" s="5"/>
      <c r="B35" s="306" t="s">
        <v>61</v>
      </c>
      <c r="C35" s="303"/>
      <c r="D35" s="303"/>
      <c r="E35" s="303"/>
      <c r="F35" s="5"/>
      <c r="G35" s="5" t="s">
        <v>62</v>
      </c>
      <c r="H35" s="5"/>
      <c r="I35" s="5"/>
      <c r="J35" s="247">
        <v>0</v>
      </c>
      <c r="K35" s="5"/>
      <c r="L35" s="5" t="str">
        <f>+B35</f>
        <v>Terminal Value</v>
      </c>
      <c r="M35" s="5"/>
      <c r="N35" s="5"/>
      <c r="O35" s="73">
        <f>+E38</f>
        <v>189002069.12225249</v>
      </c>
      <c r="P35" s="82"/>
      <c r="Q35" s="5"/>
      <c r="R35" s="5"/>
      <c r="S35" s="303"/>
      <c r="T35" s="80"/>
      <c r="U35" s="81"/>
      <c r="V35" s="83"/>
      <c r="W35" s="83"/>
      <c r="X35" s="83"/>
      <c r="Y35" s="81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ht="12.75" customHeight="1" x14ac:dyDescent="0.2">
      <c r="A36" s="5"/>
      <c r="B36" s="5" t="str">
        <f>"Terminal Year EBITDA ("&amp;N6&amp;"E)"</f>
        <v>Terminal Year EBITDA (2030E)</v>
      </c>
      <c r="C36" s="5"/>
      <c r="D36" s="5"/>
      <c r="E36" s="73">
        <f>+N13</f>
        <v>22235537.543794412</v>
      </c>
      <c r="F36" s="5"/>
      <c r="G36" s="5" t="s">
        <v>63</v>
      </c>
      <c r="H36" s="5"/>
      <c r="I36" s="5"/>
      <c r="J36" s="247">
        <v>-1856211.821</v>
      </c>
      <c r="K36" s="5"/>
      <c r="L36" s="6"/>
      <c r="M36" s="6"/>
      <c r="N36" s="6"/>
      <c r="O36" s="6"/>
      <c r="P36" s="5"/>
      <c r="Q36" s="5"/>
      <c r="R36" s="5"/>
      <c r="S36" s="303"/>
      <c r="T36" s="84"/>
      <c r="U36" s="81"/>
      <c r="V36" s="83"/>
      <c r="W36" s="85"/>
      <c r="X36" s="83"/>
      <c r="Y36" s="81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ht="15" customHeight="1" x14ac:dyDescent="0.2">
      <c r="A37" s="5"/>
      <c r="B37" s="5" t="s">
        <v>64</v>
      </c>
      <c r="C37" s="5"/>
      <c r="D37" s="5"/>
      <c r="E37" s="295">
        <v>8.5</v>
      </c>
      <c r="F37" s="5"/>
      <c r="G37" s="5" t="s">
        <v>65</v>
      </c>
      <c r="H37" s="5"/>
      <c r="I37" s="5"/>
      <c r="J37" s="247">
        <v>10522105.73</v>
      </c>
      <c r="K37" s="5"/>
      <c r="L37" s="14" t="s">
        <v>57</v>
      </c>
      <c r="M37" s="5"/>
      <c r="N37" s="5"/>
      <c r="O37" s="86">
        <f>+IF(ISERROR(IF(D5="Y",((E38*E26)-N25*(1+E26)^0.5)/(E38+N25*(1+E26)^0.5),((O35*O34)-O33)/(O35+O33))),"- %",IF(D5="Y",((E38*E26)-N25*(1+E26)^0.5)/(E38+N25*(1+E26)^0.5),((O35*O34)-O33)/(O35+O33)))</f>
        <v>2.971043472997793E-2</v>
      </c>
      <c r="P37" s="87"/>
      <c r="Q37" s="5"/>
      <c r="R37" s="5"/>
      <c r="S37" s="303"/>
      <c r="T37" s="80"/>
      <c r="U37" s="81"/>
      <c r="V37" s="83"/>
      <c r="W37" s="83"/>
      <c r="X37" s="83"/>
      <c r="Y37" s="81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ht="12.75" customHeight="1" x14ac:dyDescent="0.2">
      <c r="A38" s="5"/>
      <c r="B38" s="14" t="s">
        <v>66</v>
      </c>
      <c r="C38" s="14"/>
      <c r="D38" s="14"/>
      <c r="E38" s="23">
        <f>+E36*E37</f>
        <v>189002069.12225249</v>
      </c>
      <c r="F38" s="5"/>
      <c r="G38" s="5"/>
      <c r="H38" s="5"/>
      <c r="I38" s="5"/>
      <c r="J38" s="5" t="s">
        <v>67</v>
      </c>
      <c r="K38" s="5"/>
      <c r="L38" s="5"/>
      <c r="M38" s="5"/>
      <c r="N38" s="5"/>
      <c r="O38" s="5"/>
      <c r="P38" s="5"/>
      <c r="Q38" s="5"/>
      <c r="R38" s="5"/>
      <c r="S38" s="303"/>
      <c r="T38" s="80"/>
      <c r="U38" s="81"/>
      <c r="V38" s="81"/>
      <c r="W38" s="81"/>
      <c r="X38" s="81"/>
      <c r="Y38" s="81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15" customHeight="1" x14ac:dyDescent="0.2">
      <c r="A39" s="5"/>
      <c r="B39" s="5" t="s">
        <v>68</v>
      </c>
      <c r="C39" s="5"/>
      <c r="D39" s="5"/>
      <c r="E39" s="59">
        <f>1/((1+$E$26)^(N6-I6))</f>
        <v>0.60699988653596382</v>
      </c>
      <c r="F39" s="5"/>
      <c r="G39" s="14" t="s">
        <v>69</v>
      </c>
      <c r="H39" s="5"/>
      <c r="I39" s="5"/>
      <c r="J39" s="88">
        <f>+J33+SUM(J34:J37)</f>
        <v>141757176.39930683</v>
      </c>
      <c r="K39" s="5"/>
      <c r="L39" s="302" t="s">
        <v>70</v>
      </c>
      <c r="M39" s="303"/>
      <c r="N39" s="303"/>
      <c r="O39" s="303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12.75" customHeight="1" x14ac:dyDescent="0.2">
      <c r="A40" s="5"/>
      <c r="B40" s="14" t="s">
        <v>71</v>
      </c>
      <c r="C40" s="14"/>
      <c r="D40" s="14"/>
      <c r="E40" s="23">
        <f>+E38*E39</f>
        <v>114724234.51226966</v>
      </c>
      <c r="F40" s="5"/>
      <c r="G40" s="5"/>
      <c r="H40" s="5"/>
      <c r="I40" s="5"/>
      <c r="J40" s="5"/>
      <c r="K40" s="5"/>
      <c r="L40" s="82" t="str">
        <f>+G33</f>
        <v>Enterprise Value</v>
      </c>
      <c r="M40" s="5"/>
      <c r="N40" s="5"/>
      <c r="O40" s="73">
        <f>E43</f>
        <v>154164769.97630683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ht="12.75" customHeight="1" x14ac:dyDescent="0.2">
      <c r="A41" s="5"/>
      <c r="B41" s="78" t="s">
        <v>72</v>
      </c>
      <c r="C41" s="5"/>
      <c r="D41" s="5"/>
      <c r="E41" s="26">
        <f>+IF(ISERROR(E40/E43),"- %",E40/E43)</f>
        <v>0.7441663522081039</v>
      </c>
      <c r="F41" s="5"/>
      <c r="G41" s="5" t="s">
        <v>73</v>
      </c>
      <c r="H41" s="5"/>
      <c r="I41" s="5"/>
      <c r="J41" s="56">
        <f>+F131</f>
        <v>1703.5071210000001</v>
      </c>
      <c r="K41" s="5"/>
      <c r="L41" s="5" t="s">
        <v>74</v>
      </c>
      <c r="M41" s="5"/>
      <c r="N41" s="5"/>
      <c r="O41" s="248">
        <v>16767570.796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15" customHeight="1" x14ac:dyDescent="0.2">
      <c r="A42" s="5"/>
      <c r="B42" s="5"/>
      <c r="C42" s="5"/>
      <c r="D42" s="5"/>
      <c r="E42" s="266"/>
      <c r="F42" s="5"/>
      <c r="G42" s="5"/>
      <c r="H42" s="5"/>
      <c r="I42" s="5"/>
      <c r="J42" s="90"/>
      <c r="K42" s="5"/>
      <c r="L42" s="5"/>
      <c r="M42" s="5"/>
      <c r="N42" s="5"/>
      <c r="O42" s="5"/>
      <c r="P42" s="5"/>
      <c r="Q42" s="4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ht="15" customHeight="1" x14ac:dyDescent="0.2">
      <c r="A43" s="5"/>
      <c r="B43" s="14" t="s">
        <v>75</v>
      </c>
      <c r="C43" s="14"/>
      <c r="D43" s="14"/>
      <c r="E43" s="88">
        <f>+E40+E33</f>
        <v>154164769.97630683</v>
      </c>
      <c r="F43" s="5"/>
      <c r="G43" s="14" t="s">
        <v>73</v>
      </c>
      <c r="H43" s="5"/>
      <c r="I43" s="5"/>
      <c r="J43" s="267">
        <f>+IF(ISERROR(J39/J41),"NA",J39/J41)</f>
        <v>83214.900983854954</v>
      </c>
      <c r="K43" s="5"/>
      <c r="L43" s="14" t="s">
        <v>70</v>
      </c>
      <c r="M43" s="5"/>
      <c r="N43" s="5"/>
      <c r="O43" s="91">
        <f>+IF(ISERROR(O40/O41),"- x",O40/O41)</f>
        <v>9.194222100024394</v>
      </c>
      <c r="P43" s="5"/>
      <c r="Q43" s="32"/>
      <c r="R43" s="5"/>
      <c r="S43" s="5"/>
      <c r="T43" s="5"/>
      <c r="U43" s="68"/>
      <c r="V43" s="68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9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268"/>
      <c r="R45" s="9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ht="15" customHeight="1" x14ac:dyDescent="0.2">
      <c r="A46" s="5"/>
      <c r="B46" s="5"/>
      <c r="C46" s="305" t="s">
        <v>55</v>
      </c>
      <c r="D46" s="303"/>
      <c r="E46" s="303"/>
      <c r="F46" s="303"/>
      <c r="G46" s="303"/>
      <c r="H46" s="303"/>
      <c r="I46" s="5"/>
      <c r="J46" s="305" t="s">
        <v>57</v>
      </c>
      <c r="K46" s="303"/>
      <c r="L46" s="303"/>
      <c r="M46" s="303"/>
      <c r="N46" s="303"/>
      <c r="O46" s="303"/>
      <c r="P46" s="5"/>
      <c r="Q46" s="9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ht="15" customHeight="1" x14ac:dyDescent="0.2">
      <c r="A47" s="5"/>
      <c r="B47" s="5"/>
      <c r="C47" s="5"/>
      <c r="D47" s="307" t="s">
        <v>64</v>
      </c>
      <c r="E47" s="303"/>
      <c r="F47" s="303"/>
      <c r="G47" s="303"/>
      <c r="H47" s="303"/>
      <c r="I47" s="5"/>
      <c r="J47" s="5"/>
      <c r="K47" s="307" t="s">
        <v>64</v>
      </c>
      <c r="L47" s="303"/>
      <c r="M47" s="303"/>
      <c r="N47" s="303"/>
      <c r="O47" s="303"/>
      <c r="P47" s="5"/>
      <c r="Q47" s="3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ht="12.75" customHeight="1" x14ac:dyDescent="0.2">
      <c r="A48" s="5"/>
      <c r="B48" s="5"/>
      <c r="C48" s="95">
        <f>+E43</f>
        <v>154164769.97630683</v>
      </c>
      <c r="D48" s="96">
        <f>+E48-0.5</f>
        <v>-1</v>
      </c>
      <c r="E48" s="96">
        <f>+F48-0.5</f>
        <v>-0.5</v>
      </c>
      <c r="F48" s="97">
        <v>0</v>
      </c>
      <c r="G48" s="96">
        <f>+F48+0.5</f>
        <v>0.5</v>
      </c>
      <c r="H48" s="96">
        <f>+G48+0.5</f>
        <v>1</v>
      </c>
      <c r="I48" s="76"/>
      <c r="J48" s="95">
        <f>+O37</f>
        <v>2.971043472997793E-2</v>
      </c>
      <c r="K48" s="96">
        <f>+L48-0.5</f>
        <v>-1</v>
      </c>
      <c r="L48" s="96">
        <f>+M48-0.5</f>
        <v>-0.5</v>
      </c>
      <c r="M48" s="97">
        <v>0</v>
      </c>
      <c r="N48" s="96">
        <f>+M48+0.5</f>
        <v>0.5</v>
      </c>
      <c r="O48" s="96">
        <f>+N48+0.5</f>
        <v>1</v>
      </c>
      <c r="P48" s="98"/>
      <c r="Q48" s="92"/>
      <c r="R48" s="6"/>
      <c r="S48" s="6"/>
      <c r="T48" s="6"/>
      <c r="U48" s="5"/>
      <c r="V48" s="5"/>
      <c r="W48" s="5"/>
      <c r="X48" s="5"/>
      <c r="Y48" s="5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2.75" customHeight="1" x14ac:dyDescent="0.2">
      <c r="A49" s="5"/>
      <c r="B49" s="304" t="s">
        <v>60</v>
      </c>
      <c r="C49" s="99">
        <f>+C50-0.005</f>
        <v>-0.01</v>
      </c>
      <c r="D49" s="100">
        <v>0</v>
      </c>
      <c r="E49" s="81">
        <v>0</v>
      </c>
      <c r="F49" s="81">
        <v>0</v>
      </c>
      <c r="G49" s="81">
        <v>0</v>
      </c>
      <c r="H49" s="81">
        <v>0</v>
      </c>
      <c r="I49" s="304" t="s">
        <v>60</v>
      </c>
      <c r="J49" s="99">
        <f>+J50-0.005</f>
        <v>-0.01</v>
      </c>
      <c r="K49" s="101"/>
      <c r="L49" s="102"/>
      <c r="M49" s="102"/>
      <c r="N49" s="102"/>
      <c r="O49" s="102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ht="12.75" customHeight="1" x14ac:dyDescent="0.2">
      <c r="A50" s="5"/>
      <c r="B50" s="303"/>
      <c r="C50" s="99">
        <f>+C51-0.005</f>
        <v>-5.0000000000000001E-3</v>
      </c>
      <c r="D50" s="100">
        <v>0</v>
      </c>
      <c r="E50" s="103">
        <v>0</v>
      </c>
      <c r="F50" s="103">
        <v>0</v>
      </c>
      <c r="G50" s="103">
        <v>0</v>
      </c>
      <c r="H50" s="81">
        <v>0</v>
      </c>
      <c r="I50" s="303"/>
      <c r="J50" s="99">
        <f>+J51-0.005</f>
        <v>-5.0000000000000001E-3</v>
      </c>
      <c r="K50" s="101"/>
      <c r="L50" s="104"/>
      <c r="M50" s="104"/>
      <c r="N50" s="104"/>
      <c r="O50" s="102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12.75" customHeight="1" x14ac:dyDescent="0.2">
      <c r="A51" s="5"/>
      <c r="B51" s="303"/>
      <c r="C51" s="105">
        <v>0</v>
      </c>
      <c r="D51" s="100">
        <v>0</v>
      </c>
      <c r="E51" s="103">
        <v>0</v>
      </c>
      <c r="F51" s="106">
        <v>0</v>
      </c>
      <c r="G51" s="103">
        <v>0</v>
      </c>
      <c r="H51" s="81">
        <v>0</v>
      </c>
      <c r="I51" s="303"/>
      <c r="J51" s="105">
        <v>0</v>
      </c>
      <c r="K51" s="101"/>
      <c r="L51" s="104"/>
      <c r="M51" s="107"/>
      <c r="N51" s="104"/>
      <c r="O51" s="102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12.75" customHeight="1" x14ac:dyDescent="0.2">
      <c r="A52" s="5"/>
      <c r="B52" s="303"/>
      <c r="C52" s="99">
        <f>+C51+0.005</f>
        <v>5.0000000000000001E-3</v>
      </c>
      <c r="D52" s="100">
        <v>0</v>
      </c>
      <c r="E52" s="103">
        <v>0</v>
      </c>
      <c r="F52" s="103">
        <v>0</v>
      </c>
      <c r="G52" s="103">
        <v>0</v>
      </c>
      <c r="H52" s="81">
        <v>0</v>
      </c>
      <c r="I52" s="303"/>
      <c r="J52" s="99">
        <f>+J51+0.005</f>
        <v>5.0000000000000001E-3</v>
      </c>
      <c r="K52" s="101"/>
      <c r="L52" s="104"/>
      <c r="M52" s="104"/>
      <c r="N52" s="104"/>
      <c r="O52" s="102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12.75" customHeight="1" x14ac:dyDescent="0.2">
      <c r="A53" s="5"/>
      <c r="B53" s="303"/>
      <c r="C53" s="99">
        <f>+C52+0.005</f>
        <v>0.01</v>
      </c>
      <c r="D53" s="100">
        <v>0</v>
      </c>
      <c r="E53" s="81">
        <v>0</v>
      </c>
      <c r="F53" s="81">
        <v>0</v>
      </c>
      <c r="G53" s="81">
        <v>0</v>
      </c>
      <c r="H53" s="81">
        <v>0</v>
      </c>
      <c r="I53" s="303"/>
      <c r="J53" s="99">
        <f>+J52+0.005</f>
        <v>0.01</v>
      </c>
      <c r="K53" s="101"/>
      <c r="L53" s="102"/>
      <c r="M53" s="102"/>
      <c r="N53" s="102"/>
      <c r="O53" s="102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12.75" customHeight="1" x14ac:dyDescent="0.2">
      <c r="A54" s="5"/>
      <c r="B54" s="68"/>
      <c r="C54" s="14"/>
      <c r="D54" s="14"/>
      <c r="E54" s="108"/>
      <c r="F54" s="57"/>
      <c r="G54" s="57"/>
      <c r="H54" s="57"/>
      <c r="I54" s="68"/>
      <c r="J54" s="5"/>
      <c r="K54" s="269"/>
      <c r="L54" s="269"/>
      <c r="M54" s="269"/>
      <c r="N54" s="269"/>
      <c r="O54" s="269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ht="12.75" customHeight="1" x14ac:dyDescent="0.2">
      <c r="A55" s="5"/>
      <c r="B55" s="109"/>
      <c r="C55" s="110"/>
      <c r="D55" s="110"/>
      <c r="E55" s="111"/>
      <c r="F55" s="112"/>
      <c r="G55" s="112"/>
      <c r="H55" s="112"/>
      <c r="I55" s="109"/>
      <c r="J55" s="113"/>
      <c r="K55" s="270"/>
      <c r="L55" s="270"/>
      <c r="M55" s="270"/>
      <c r="N55" s="270"/>
      <c r="O55" s="270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ht="12.75" customHeight="1" x14ac:dyDescent="0.2">
      <c r="A56" s="5"/>
      <c r="B56" s="68"/>
      <c r="C56" s="14"/>
      <c r="D56" s="14"/>
      <c r="E56" s="108"/>
      <c r="F56" s="57"/>
      <c r="G56" s="57"/>
      <c r="H56" s="57"/>
      <c r="I56" s="68"/>
      <c r="J56" s="5"/>
      <c r="K56" s="269"/>
      <c r="L56" s="269"/>
      <c r="M56" s="269"/>
      <c r="N56" s="269"/>
      <c r="O56" s="269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12.75" customHeight="1" x14ac:dyDescent="0.2">
      <c r="A57" s="5"/>
      <c r="B57" s="68"/>
      <c r="C57" s="14"/>
      <c r="D57" s="14"/>
      <c r="E57" s="108"/>
      <c r="F57" s="27"/>
      <c r="G57" s="27"/>
      <c r="H57" s="27"/>
      <c r="I57" s="114"/>
      <c r="J57" s="269"/>
      <c r="K57" s="269"/>
      <c r="L57" s="269"/>
      <c r="M57" s="269"/>
      <c r="N57" s="269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ht="12.75" customHeight="1" x14ac:dyDescent="0.2">
      <c r="A58" s="5"/>
      <c r="B58" s="115" t="s">
        <v>76</v>
      </c>
      <c r="C58" s="14"/>
      <c r="D58" s="14"/>
      <c r="E58" s="108"/>
      <c r="F58" s="5"/>
      <c r="G58" s="5"/>
      <c r="H58" s="5"/>
      <c r="I58" s="114"/>
      <c r="J58" s="5"/>
      <c r="K58" s="269"/>
      <c r="L58" s="269"/>
      <c r="M58" s="269"/>
      <c r="N58" s="269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12.75" customHeight="1" x14ac:dyDescent="0.2">
      <c r="A59" s="5"/>
      <c r="B59" s="116" t="s">
        <v>77</v>
      </c>
      <c r="C59" s="117"/>
      <c r="D59" s="117"/>
      <c r="E59" s="118" t="s">
        <v>37</v>
      </c>
      <c r="F59" s="118">
        <f>+IF(ISERROR(F7/E7-1),0,F7/E7-1)</f>
        <v>0.19443750820918715</v>
      </c>
      <c r="G59" s="118">
        <f>+IF(ISERROR(G7/F7-1),0,G7/F7-1)</f>
        <v>0.11557947650406142</v>
      </c>
      <c r="H59" s="118"/>
      <c r="I59" s="118">
        <f>+IF(ISERROR(I7/G7-1),0,I7/G7-1)</f>
        <v>0</v>
      </c>
      <c r="J59" s="119">
        <f>'A1'!F9</f>
        <v>0.12</v>
      </c>
      <c r="K59" s="118">
        <f>'A1'!G9</f>
        <v>0.11</v>
      </c>
      <c r="L59" s="118">
        <f>'A1'!H9</f>
        <v>0.1</v>
      </c>
      <c r="M59" s="118">
        <f>'A1'!I9</f>
        <v>0.09</v>
      </c>
      <c r="N59" s="120">
        <f>'A1'!J9</f>
        <v>0.08</v>
      </c>
      <c r="O59" s="27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12.75" customHeight="1" x14ac:dyDescent="0.2">
      <c r="A60" s="5"/>
      <c r="B60" s="121" t="s">
        <v>78</v>
      </c>
      <c r="C60" s="122"/>
      <c r="D60" s="122"/>
      <c r="E60" s="123">
        <f>+IF(ISERROR(E10/E7),0,E10/E7)</f>
        <v>0.38617187543850778</v>
      </c>
      <c r="F60" s="123">
        <f>+IF(ISERROR(F10/F7),0,F10/F7)</f>
        <v>0.37706925987551476</v>
      </c>
      <c r="G60" s="123">
        <f>+IF(ISERROR(G10/G7),0,G10/G7)</f>
        <v>0.36924099800153048</v>
      </c>
      <c r="H60" s="123"/>
      <c r="I60" s="123">
        <f>+IF(ISERROR(I10/I7),0,I10/I7)</f>
        <v>0.36924099800153048</v>
      </c>
      <c r="J60" s="124">
        <f>'A1'!F16</f>
        <v>0.63</v>
      </c>
      <c r="K60" s="123">
        <f>'A1'!G16</f>
        <v>0.628</v>
      </c>
      <c r="L60" s="123">
        <f>'A1'!H16</f>
        <v>0.626</v>
      </c>
      <c r="M60" s="123">
        <f>'A1'!I16</f>
        <v>0.624</v>
      </c>
      <c r="N60" s="125">
        <f>'A1'!J16</f>
        <v>0.622</v>
      </c>
      <c r="O60" s="27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ht="12.75" customHeight="1" x14ac:dyDescent="0.2">
      <c r="A61" s="5"/>
      <c r="B61" s="121" t="s">
        <v>79</v>
      </c>
      <c r="C61" s="122"/>
      <c r="D61" s="122"/>
      <c r="E61" s="123">
        <f>+IF(ISERROR(E12/E7),0,E12/E7)</f>
        <v>0.2255492020485578</v>
      </c>
      <c r="F61" s="123">
        <f>+IF(ISERROR(F12/F7),0,F12/F7)</f>
        <v>0.20986879260302199</v>
      </c>
      <c r="G61" s="123">
        <f>+IF(ISERROR(G12/G7),0,G12/G7)</f>
        <v>0.21251441539455934</v>
      </c>
      <c r="H61" s="123"/>
      <c r="I61" s="123">
        <f>+IF(ISERROR(I12/I7),0,I12/I7)</f>
        <v>0.21251441539455934</v>
      </c>
      <c r="J61" s="124">
        <f>'A1'!F23</f>
        <v>0.185</v>
      </c>
      <c r="K61" s="123">
        <f>'A1'!G23</f>
        <v>0.184</v>
      </c>
      <c r="L61" s="123">
        <f>'A1'!H23</f>
        <v>0.183</v>
      </c>
      <c r="M61" s="123">
        <f>'A1'!I23</f>
        <v>0.182</v>
      </c>
      <c r="N61" s="125">
        <f>'A1'!J23</f>
        <v>0.18099999999999999</v>
      </c>
      <c r="O61" s="27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ht="12.75" customHeight="1" x14ac:dyDescent="0.2">
      <c r="A62" s="5"/>
      <c r="B62" s="121" t="s">
        <v>80</v>
      </c>
      <c r="C62" s="122"/>
      <c r="D62" s="122"/>
      <c r="E62" s="123">
        <f>+IF(ISERROR(E15/E7),0,E15/E7)</f>
        <v>4.3455062308884684E-2</v>
      </c>
      <c r="F62" s="123">
        <f>+IF(ISERROR(F15/F7),0,F15/F7)</f>
        <v>4.0339651733663842E-2</v>
      </c>
      <c r="G62" s="123">
        <f>+IF(ISERROR(G15/G7),0,G15/G7)</f>
        <v>4.1564126916894636E-2</v>
      </c>
      <c r="H62" s="123"/>
      <c r="I62" s="123">
        <f>+IF(ISERROR(I15/I7),0,I15/I7)</f>
        <v>4.1564126916894636E-2</v>
      </c>
      <c r="J62" s="124">
        <f>'A1'!F30</f>
        <v>4.1000000000000002E-2</v>
      </c>
      <c r="K62" s="123">
        <f>'A1'!G30</f>
        <v>0.04</v>
      </c>
      <c r="L62" s="123">
        <f>'A1'!H30</f>
        <v>3.9E-2</v>
      </c>
      <c r="M62" s="123">
        <f>'A1'!I30</f>
        <v>3.7999999999999999E-2</v>
      </c>
      <c r="N62" s="125">
        <f>'A1'!J30</f>
        <v>3.6999999999999998E-2</v>
      </c>
      <c r="O62" s="271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ht="12.75" customHeight="1" x14ac:dyDescent="0.2">
      <c r="A63" s="5"/>
      <c r="B63" s="121" t="s">
        <v>81</v>
      </c>
      <c r="C63" s="122"/>
      <c r="D63" s="122"/>
      <c r="E63" s="123">
        <f>+IF(ISERROR(-E22/E7),0,-E22/E7)</f>
        <v>7.5606438483357852E-2</v>
      </c>
      <c r="F63" s="123">
        <f>+IF(ISERROR(-F22/F7),0,-F22/F7)</f>
        <v>5.2114163204276101E-2</v>
      </c>
      <c r="G63" s="123">
        <f>+IF(ISERROR(-G22/G7),0,-G22/G7)</f>
        <v>7.2710225877452045E-2</v>
      </c>
      <c r="H63" s="123"/>
      <c r="I63" s="123">
        <f>+IF(ISERROR(-I22/I7),0,-I22/I7)</f>
        <v>7.2710225877452045E-2</v>
      </c>
      <c r="J63" s="124">
        <f>'A1'!F38</f>
        <v>0.05</v>
      </c>
      <c r="K63" s="123">
        <f>'A1'!G38</f>
        <v>4.8000000000000001E-2</v>
      </c>
      <c r="L63" s="123">
        <f>'A1'!H38</f>
        <v>4.5999999999999999E-2</v>
      </c>
      <c r="M63" s="123">
        <f>'A1'!I38</f>
        <v>4.3999999999999997E-2</v>
      </c>
      <c r="N63" s="125">
        <f>'A1'!J38</f>
        <v>4.2000000000000003E-2</v>
      </c>
      <c r="O63" s="272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ht="12.75" customHeight="1" x14ac:dyDescent="0.2">
      <c r="A64" s="5"/>
      <c r="B64" s="121" t="s">
        <v>82</v>
      </c>
      <c r="C64" s="122"/>
      <c r="D64" s="122"/>
      <c r="E64" s="249">
        <v>0.1537493666502894</v>
      </c>
      <c r="F64" s="249">
        <v>0.1483553185784898</v>
      </c>
      <c r="G64" s="249">
        <v>0.13886418040521789</v>
      </c>
      <c r="H64" s="126"/>
      <c r="I64" s="54">
        <v>0.2</v>
      </c>
      <c r="J64" s="124">
        <f>I64</f>
        <v>0.2</v>
      </c>
      <c r="K64" s="123">
        <f>J64</f>
        <v>0.2</v>
      </c>
      <c r="L64" s="123">
        <f>K64</f>
        <v>0.2</v>
      </c>
      <c r="M64" s="123">
        <f>L64</f>
        <v>0.2</v>
      </c>
      <c r="N64" s="125">
        <f>M64</f>
        <v>0.2</v>
      </c>
      <c r="O64" s="272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ht="12.75" customHeight="1" x14ac:dyDescent="0.2">
      <c r="A65" s="5"/>
      <c r="B65" s="127" t="s">
        <v>83</v>
      </c>
      <c r="C65" s="128"/>
      <c r="D65" s="128"/>
      <c r="E65" s="129"/>
      <c r="F65" s="130"/>
      <c r="G65" s="130"/>
      <c r="H65" s="130"/>
      <c r="I65" s="131"/>
      <c r="J65" s="132">
        <f>NWC!I24</f>
        <v>8.6893962940676583E-2</v>
      </c>
      <c r="K65" s="133">
        <f>NWC!J24</f>
        <v>8.696828007749699E-2</v>
      </c>
      <c r="L65" s="133">
        <f>NWC!K24</f>
        <v>8.7042597214317313E-2</v>
      </c>
      <c r="M65" s="133">
        <f>NWC!L24</f>
        <v>8.7116914351137775E-2</v>
      </c>
      <c r="N65" s="134">
        <f>NWC!M24</f>
        <v>8.7191231487958126E-2</v>
      </c>
      <c r="O65" s="269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ht="12.75" customHeight="1" x14ac:dyDescent="0.2">
      <c r="A66" s="5"/>
      <c r="B66" s="68"/>
      <c r="C66" s="14"/>
      <c r="D66" s="14"/>
      <c r="E66" s="108"/>
      <c r="F66" s="57"/>
      <c r="G66" s="57"/>
      <c r="H66" s="57"/>
      <c r="I66" s="68"/>
      <c r="J66" s="5"/>
      <c r="K66" s="269"/>
      <c r="L66" s="269"/>
      <c r="M66" s="269"/>
      <c r="N66" s="269"/>
      <c r="O66" s="269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ht="12.75" customHeight="1" x14ac:dyDescent="0.2">
      <c r="A67" s="5"/>
      <c r="B67" s="109"/>
      <c r="C67" s="110"/>
      <c r="D67" s="110"/>
      <c r="E67" s="111"/>
      <c r="F67" s="112"/>
      <c r="G67" s="112"/>
      <c r="H67" s="112"/>
      <c r="I67" s="109"/>
      <c r="J67" s="113"/>
      <c r="K67" s="270"/>
      <c r="L67" s="270"/>
      <c r="M67" s="270"/>
      <c r="N67" s="270"/>
      <c r="O67" s="270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ht="12.75" customHeight="1" x14ac:dyDescent="0.2">
      <c r="A68" s="5"/>
      <c r="B68" s="68"/>
      <c r="C68" s="14"/>
      <c r="D68" s="14"/>
      <c r="E68" s="108"/>
      <c r="F68" s="57"/>
      <c r="G68" s="57"/>
      <c r="H68" s="57"/>
      <c r="I68" s="68"/>
      <c r="J68" s="5"/>
      <c r="K68" s="269"/>
      <c r="L68" s="269"/>
      <c r="M68" s="269"/>
      <c r="N68" s="269"/>
      <c r="O68" s="269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ht="12.75" customHeight="1" x14ac:dyDescent="0.2">
      <c r="A69" s="6"/>
      <c r="B69" s="6"/>
      <c r="C69" s="114"/>
      <c r="D69" s="5"/>
      <c r="E69" s="5"/>
      <c r="F69" s="5"/>
      <c r="G69" s="79"/>
      <c r="H69" s="5"/>
      <c r="I69" s="5"/>
      <c r="J69" s="114"/>
      <c r="K69" s="269"/>
      <c r="L69" s="269"/>
      <c r="M69" s="269"/>
      <c r="N69" s="135"/>
      <c r="O69" s="269"/>
      <c r="P69" s="5"/>
      <c r="Q69" s="5"/>
      <c r="R69" s="5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26.25" customHeight="1" x14ac:dyDescent="0.4">
      <c r="A70" s="1" t="str">
        <f>+A1</f>
        <v>ValueCo Corporation</v>
      </c>
      <c r="B70" s="13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137"/>
      <c r="Q70" s="5"/>
      <c r="R70" s="5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8" customHeight="1" x14ac:dyDescent="0.25">
      <c r="A71" s="7" t="s">
        <v>84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38"/>
      <c r="Q71" s="5"/>
      <c r="R71" s="5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2.75" customHeight="1" x14ac:dyDescent="0.2">
      <c r="A72" s="8" t="s">
        <v>85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139"/>
      <c r="Q72" s="5"/>
      <c r="R72" s="5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2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5"/>
      <c r="Q73" s="5"/>
      <c r="R73" s="5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2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5"/>
      <c r="Q74" s="5"/>
      <c r="R74" s="5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" customHeight="1" x14ac:dyDescent="0.2">
      <c r="A75" s="6"/>
      <c r="B75" s="5"/>
      <c r="C75" s="305" t="s">
        <v>55</v>
      </c>
      <c r="D75" s="303"/>
      <c r="E75" s="303"/>
      <c r="F75" s="303"/>
      <c r="G75" s="303"/>
      <c r="H75" s="303"/>
      <c r="I75" s="262"/>
      <c r="J75" s="305" t="s">
        <v>86</v>
      </c>
      <c r="K75" s="303"/>
      <c r="L75" s="303"/>
      <c r="M75" s="303"/>
      <c r="N75" s="303"/>
      <c r="O75" s="303"/>
      <c r="P75" s="5"/>
      <c r="Q75" s="5"/>
      <c r="R75" s="5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" customHeight="1" x14ac:dyDescent="0.2">
      <c r="A76" s="6"/>
      <c r="B76" s="5"/>
      <c r="C76" s="5"/>
      <c r="D76" s="307" t="s">
        <v>64</v>
      </c>
      <c r="E76" s="303"/>
      <c r="F76" s="303"/>
      <c r="G76" s="303"/>
      <c r="H76" s="303"/>
      <c r="I76" s="5"/>
      <c r="J76" s="5"/>
      <c r="K76" s="307" t="s">
        <v>64</v>
      </c>
      <c r="L76" s="303"/>
      <c r="M76" s="303"/>
      <c r="N76" s="303"/>
      <c r="O76" s="303"/>
      <c r="P76" s="5"/>
      <c r="Q76" s="5"/>
      <c r="R76" s="5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2.75" customHeight="1" x14ac:dyDescent="0.2">
      <c r="A77" s="6"/>
      <c r="B77" s="5"/>
      <c r="C77" s="140">
        <f>E43</f>
        <v>154164769.97630683</v>
      </c>
      <c r="D77" s="141">
        <f>+E77-0.5</f>
        <v>-1</v>
      </c>
      <c r="E77" s="141">
        <f>+F77-0.5</f>
        <v>-0.5</v>
      </c>
      <c r="F77" s="142">
        <v>0</v>
      </c>
      <c r="G77" s="141">
        <f>+F77+0.5</f>
        <v>0.5</v>
      </c>
      <c r="H77" s="141">
        <f>+G77+0.5</f>
        <v>1</v>
      </c>
      <c r="I77" s="5"/>
      <c r="J77" s="140">
        <f>J39</f>
        <v>141757176.39930683</v>
      </c>
      <c r="K77" s="141">
        <f>+L77-0.5</f>
        <v>-1</v>
      </c>
      <c r="L77" s="141">
        <f>+M77-0.5</f>
        <v>-0.5</v>
      </c>
      <c r="M77" s="142">
        <v>0</v>
      </c>
      <c r="N77" s="141">
        <f>+M77+0.5</f>
        <v>0.5</v>
      </c>
      <c r="O77" s="141">
        <f>+N77+0.5</f>
        <v>1</v>
      </c>
      <c r="P77" s="5"/>
      <c r="Q77" s="5"/>
      <c r="R77" s="5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2.75" customHeight="1" x14ac:dyDescent="0.2">
      <c r="A78" s="6"/>
      <c r="B78" s="304" t="s">
        <v>60</v>
      </c>
      <c r="C78" s="99">
        <f>+C79-0.005</f>
        <v>-0.01</v>
      </c>
      <c r="D78" s="143">
        <v>0</v>
      </c>
      <c r="E78" s="144">
        <v>0</v>
      </c>
      <c r="F78" s="144">
        <v>0</v>
      </c>
      <c r="G78" s="144">
        <v>0</v>
      </c>
      <c r="H78" s="144">
        <v>0</v>
      </c>
      <c r="I78" s="304" t="s">
        <v>60</v>
      </c>
      <c r="J78" s="99">
        <f>+J79-0.005</f>
        <v>-0.01</v>
      </c>
      <c r="K78" s="143">
        <v>0</v>
      </c>
      <c r="L78" s="144">
        <v>0</v>
      </c>
      <c r="M78" s="144">
        <v>0</v>
      </c>
      <c r="N78" s="144">
        <v>0</v>
      </c>
      <c r="O78" s="144">
        <v>0</v>
      </c>
      <c r="P78" s="5"/>
      <c r="Q78" s="5"/>
      <c r="R78" s="5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2.75" customHeight="1" x14ac:dyDescent="0.2">
      <c r="A79" s="6"/>
      <c r="B79" s="303"/>
      <c r="C79" s="99">
        <f>+C80-0.005</f>
        <v>-5.0000000000000001E-3</v>
      </c>
      <c r="D79" s="100">
        <v>0</v>
      </c>
      <c r="E79" s="103">
        <v>0</v>
      </c>
      <c r="F79" s="103">
        <v>0</v>
      </c>
      <c r="G79" s="103">
        <v>0</v>
      </c>
      <c r="H79" s="81">
        <v>0</v>
      </c>
      <c r="I79" s="303"/>
      <c r="J79" s="99">
        <f>+J80-0.005</f>
        <v>-5.0000000000000001E-3</v>
      </c>
      <c r="K79" s="100">
        <v>0</v>
      </c>
      <c r="L79" s="103">
        <v>0</v>
      </c>
      <c r="M79" s="103">
        <v>0</v>
      </c>
      <c r="N79" s="103">
        <v>0</v>
      </c>
      <c r="O79" s="81">
        <v>0</v>
      </c>
      <c r="P79" s="5"/>
      <c r="Q79" s="5"/>
      <c r="R79" s="5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2.75" customHeight="1" x14ac:dyDescent="0.2">
      <c r="A80" s="6"/>
      <c r="B80" s="303"/>
      <c r="C80" s="105">
        <v>0</v>
      </c>
      <c r="D80" s="100">
        <v>0</v>
      </c>
      <c r="E80" s="103">
        <v>0</v>
      </c>
      <c r="F80" s="106">
        <v>0</v>
      </c>
      <c r="G80" s="103">
        <v>0</v>
      </c>
      <c r="H80" s="81">
        <v>0</v>
      </c>
      <c r="I80" s="303"/>
      <c r="J80" s="105">
        <v>0</v>
      </c>
      <c r="K80" s="100">
        <v>0</v>
      </c>
      <c r="L80" s="103">
        <v>0</v>
      </c>
      <c r="M80" s="106">
        <v>0</v>
      </c>
      <c r="N80" s="103">
        <v>0</v>
      </c>
      <c r="O80" s="81">
        <v>0</v>
      </c>
      <c r="P80" s="5"/>
      <c r="Q80" s="5"/>
      <c r="R80" s="5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2.75" customHeight="1" x14ac:dyDescent="0.2">
      <c r="A81" s="6"/>
      <c r="B81" s="303"/>
      <c r="C81" s="99">
        <f>+C80+0.005</f>
        <v>5.0000000000000001E-3</v>
      </c>
      <c r="D81" s="100">
        <v>0</v>
      </c>
      <c r="E81" s="103">
        <v>0</v>
      </c>
      <c r="F81" s="103">
        <v>0</v>
      </c>
      <c r="G81" s="103">
        <v>0</v>
      </c>
      <c r="H81" s="81">
        <v>0</v>
      </c>
      <c r="I81" s="303"/>
      <c r="J81" s="99">
        <f>+J80+0.005</f>
        <v>5.0000000000000001E-3</v>
      </c>
      <c r="K81" s="100">
        <v>0</v>
      </c>
      <c r="L81" s="103">
        <v>0</v>
      </c>
      <c r="M81" s="103">
        <v>0</v>
      </c>
      <c r="N81" s="103">
        <v>0</v>
      </c>
      <c r="O81" s="81">
        <v>0</v>
      </c>
      <c r="P81" s="5"/>
      <c r="Q81" s="5"/>
      <c r="R81" s="5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2.75" customHeight="1" x14ac:dyDescent="0.2">
      <c r="A82" s="6"/>
      <c r="B82" s="303"/>
      <c r="C82" s="99">
        <f>+C81+0.005</f>
        <v>0.01</v>
      </c>
      <c r="D82" s="100">
        <v>0</v>
      </c>
      <c r="E82" s="81">
        <v>0</v>
      </c>
      <c r="F82" s="81">
        <v>0</v>
      </c>
      <c r="G82" s="81">
        <v>0</v>
      </c>
      <c r="H82" s="81">
        <v>0</v>
      </c>
      <c r="I82" s="303"/>
      <c r="J82" s="99">
        <f>+J81+0.005</f>
        <v>0.01</v>
      </c>
      <c r="K82" s="100">
        <v>0</v>
      </c>
      <c r="L82" s="81">
        <v>0</v>
      </c>
      <c r="M82" s="81">
        <v>0</v>
      </c>
      <c r="N82" s="81">
        <v>0</v>
      </c>
      <c r="O82" s="81">
        <v>0</v>
      </c>
      <c r="P82" s="5"/>
      <c r="Q82" s="5"/>
      <c r="R82" s="5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2.75" customHeight="1" x14ac:dyDescent="0.2">
      <c r="A83" s="6"/>
      <c r="B83" s="262"/>
      <c r="C83" s="80"/>
      <c r="D83" s="81"/>
      <c r="E83" s="81"/>
      <c r="F83" s="81"/>
      <c r="G83" s="81"/>
      <c r="H83" s="81"/>
      <c r="I83" s="6"/>
      <c r="J83" s="6"/>
      <c r="K83" s="6"/>
      <c r="L83" s="6"/>
      <c r="M83" s="6"/>
      <c r="N83" s="6"/>
      <c r="O83" s="6"/>
      <c r="P83" s="5"/>
      <c r="Q83" s="5"/>
      <c r="R83" s="5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2.75" customHeight="1" x14ac:dyDescent="0.2">
      <c r="A84" s="6"/>
      <c r="B84" s="262"/>
      <c r="C84" s="80"/>
      <c r="D84" s="81"/>
      <c r="E84" s="81"/>
      <c r="F84" s="81"/>
      <c r="G84" s="81"/>
      <c r="H84" s="81"/>
      <c r="I84" s="6"/>
      <c r="J84" s="6"/>
      <c r="K84" s="6"/>
      <c r="L84" s="6"/>
      <c r="M84" s="6"/>
      <c r="N84" s="6"/>
      <c r="O84" s="6"/>
      <c r="P84" s="5"/>
      <c r="Q84" s="5"/>
      <c r="R84" s="5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" customHeight="1" x14ac:dyDescent="0.2">
      <c r="A85" s="6"/>
      <c r="B85" s="262"/>
      <c r="C85" s="305" t="s">
        <v>87</v>
      </c>
      <c r="D85" s="303"/>
      <c r="E85" s="303"/>
      <c r="F85" s="303"/>
      <c r="G85" s="303"/>
      <c r="H85" s="303"/>
      <c r="I85" s="5"/>
      <c r="J85" s="305" t="s">
        <v>88</v>
      </c>
      <c r="K85" s="303"/>
      <c r="L85" s="303"/>
      <c r="M85" s="303"/>
      <c r="N85" s="303"/>
      <c r="O85" s="303"/>
      <c r="P85" s="5"/>
      <c r="Q85" s="5"/>
      <c r="R85" s="5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" customHeight="1" x14ac:dyDescent="0.2">
      <c r="A86" s="6"/>
      <c r="B86" s="5"/>
      <c r="C86" s="5"/>
      <c r="D86" s="307" t="s">
        <v>64</v>
      </c>
      <c r="E86" s="303"/>
      <c r="F86" s="303"/>
      <c r="G86" s="303"/>
      <c r="H86" s="303"/>
      <c r="I86" s="5"/>
      <c r="J86" s="5"/>
      <c r="K86" s="307" t="s">
        <v>64</v>
      </c>
      <c r="L86" s="303"/>
      <c r="M86" s="303"/>
      <c r="N86" s="303"/>
      <c r="O86" s="303"/>
      <c r="P86" s="5"/>
      <c r="Q86" s="5"/>
      <c r="R86" s="5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2.75" customHeight="1" x14ac:dyDescent="0.2">
      <c r="A87" s="6"/>
      <c r="B87" s="5"/>
      <c r="C87" s="140">
        <f>+J43</f>
        <v>83214.900983854954</v>
      </c>
      <c r="D87" s="141">
        <f>+E87-0.5</f>
        <v>-1</v>
      </c>
      <c r="E87" s="141">
        <f>+F87-0.5</f>
        <v>-0.5</v>
      </c>
      <c r="F87" s="142">
        <v>0</v>
      </c>
      <c r="G87" s="141">
        <f>+F87+0.5</f>
        <v>0.5</v>
      </c>
      <c r="H87" s="141">
        <f>+G87+0.5</f>
        <v>1</v>
      </c>
      <c r="I87" s="5"/>
      <c r="J87" s="140">
        <f>E41</f>
        <v>0.7441663522081039</v>
      </c>
      <c r="K87" s="141">
        <f>+L87-0.5</f>
        <v>-1</v>
      </c>
      <c r="L87" s="141">
        <f>+M87-0.5</f>
        <v>-0.5</v>
      </c>
      <c r="M87" s="142">
        <v>0</v>
      </c>
      <c r="N87" s="141">
        <f>+M87+0.5</f>
        <v>0.5</v>
      </c>
      <c r="O87" s="141">
        <f>+N87+0.5</f>
        <v>1</v>
      </c>
      <c r="P87" s="5"/>
      <c r="Q87" s="5"/>
      <c r="R87" s="5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2.75" customHeight="1" x14ac:dyDescent="0.2">
      <c r="A88" s="6"/>
      <c r="B88" s="304" t="s">
        <v>60</v>
      </c>
      <c r="C88" s="99">
        <f>+C89-0.005</f>
        <v>-0.01</v>
      </c>
      <c r="D88" s="145"/>
      <c r="E88" s="146"/>
      <c r="F88" s="146"/>
      <c r="G88" s="146"/>
      <c r="H88" s="146"/>
      <c r="I88" s="304" t="s">
        <v>60</v>
      </c>
      <c r="J88" s="99">
        <f>+J89-0.005</f>
        <v>-0.01</v>
      </c>
      <c r="K88" s="147"/>
      <c r="L88" s="148"/>
      <c r="M88" s="148"/>
      <c r="N88" s="148"/>
      <c r="O88" s="148"/>
      <c r="P88" s="5"/>
      <c r="Q88" s="5"/>
      <c r="R88" s="5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2.75" customHeight="1" x14ac:dyDescent="0.2">
      <c r="A89" s="6"/>
      <c r="B89" s="303"/>
      <c r="C89" s="99">
        <f>+C90-0.005</f>
        <v>-5.0000000000000001E-3</v>
      </c>
      <c r="D89" s="149"/>
      <c r="E89" s="150"/>
      <c r="F89" s="150"/>
      <c r="G89" s="150"/>
      <c r="H89" s="151"/>
      <c r="I89" s="303"/>
      <c r="J89" s="99">
        <f>+J90-0.005</f>
        <v>-5.0000000000000001E-3</v>
      </c>
      <c r="K89" s="101"/>
      <c r="L89" s="104"/>
      <c r="M89" s="104"/>
      <c r="N89" s="104"/>
      <c r="O89" s="102"/>
      <c r="P89" s="5"/>
      <c r="Q89" s="5"/>
      <c r="R89" s="5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2.75" customHeight="1" x14ac:dyDescent="0.3">
      <c r="A90" s="6"/>
      <c r="B90" s="303"/>
      <c r="C90" s="105">
        <v>0</v>
      </c>
      <c r="D90" s="149"/>
      <c r="E90" s="150"/>
      <c r="F90" s="273"/>
      <c r="G90" s="150"/>
      <c r="H90" s="151"/>
      <c r="I90" s="303"/>
      <c r="J90" s="105">
        <v>0</v>
      </c>
      <c r="K90" s="101"/>
      <c r="L90" s="104"/>
      <c r="M90" s="107"/>
      <c r="N90" s="104"/>
      <c r="O90" s="102"/>
      <c r="P90" s="5"/>
      <c r="Q90" s="137"/>
      <c r="R90" s="5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2.75" customHeight="1" x14ac:dyDescent="0.25">
      <c r="A91" s="6"/>
      <c r="B91" s="303"/>
      <c r="C91" s="99">
        <f>+C90+0.005</f>
        <v>5.0000000000000001E-3</v>
      </c>
      <c r="D91" s="149"/>
      <c r="E91" s="150"/>
      <c r="F91" s="150"/>
      <c r="G91" s="150"/>
      <c r="H91" s="151"/>
      <c r="I91" s="303"/>
      <c r="J91" s="99">
        <f>+J90+0.005</f>
        <v>5.0000000000000001E-3</v>
      </c>
      <c r="K91" s="101"/>
      <c r="L91" s="104"/>
      <c r="M91" s="104"/>
      <c r="N91" s="104"/>
      <c r="O91" s="102"/>
      <c r="P91" s="5"/>
      <c r="Q91" s="138"/>
      <c r="R91" s="5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2.75" customHeight="1" x14ac:dyDescent="0.2">
      <c r="A92" s="6"/>
      <c r="B92" s="303"/>
      <c r="C92" s="99">
        <f>+C91+0.005</f>
        <v>0.01</v>
      </c>
      <c r="D92" s="149"/>
      <c r="E92" s="151"/>
      <c r="F92" s="151"/>
      <c r="G92" s="151"/>
      <c r="H92" s="151"/>
      <c r="I92" s="303"/>
      <c r="J92" s="99">
        <f>+J91+0.005</f>
        <v>0.01</v>
      </c>
      <c r="K92" s="101"/>
      <c r="L92" s="102"/>
      <c r="M92" s="102"/>
      <c r="N92" s="102"/>
      <c r="O92" s="102"/>
      <c r="P92" s="5"/>
      <c r="Q92" s="139"/>
      <c r="R92" s="5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2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5"/>
      <c r="Q93" s="5"/>
      <c r="R93" s="5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2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5"/>
      <c r="R94" s="5"/>
      <c r="S94" s="5"/>
      <c r="T94" s="5"/>
      <c r="U94" s="5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" customHeight="1" x14ac:dyDescent="0.2">
      <c r="A95" s="6"/>
      <c r="B95" s="5"/>
      <c r="C95" s="305" t="s">
        <v>57</v>
      </c>
      <c r="D95" s="303"/>
      <c r="E95" s="303"/>
      <c r="F95" s="303"/>
      <c r="G95" s="303"/>
      <c r="H95" s="303"/>
      <c r="I95" s="5"/>
      <c r="J95" s="305" t="s">
        <v>89</v>
      </c>
      <c r="K95" s="303"/>
      <c r="L95" s="303"/>
      <c r="M95" s="303"/>
      <c r="N95" s="303"/>
      <c r="O95" s="303"/>
      <c r="P95" s="6"/>
      <c r="Q95" s="5"/>
      <c r="R95" s="5"/>
      <c r="S95" s="5"/>
      <c r="T95" s="5"/>
      <c r="U95" s="5"/>
      <c r="V95" s="5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" customHeight="1" x14ac:dyDescent="0.2">
      <c r="A96" s="6"/>
      <c r="B96" s="5"/>
      <c r="C96" s="5"/>
      <c r="D96" s="307" t="s">
        <v>64</v>
      </c>
      <c r="E96" s="303"/>
      <c r="F96" s="303"/>
      <c r="G96" s="303"/>
      <c r="H96" s="303"/>
      <c r="I96" s="5"/>
      <c r="J96" s="5"/>
      <c r="K96" s="307" t="s">
        <v>64</v>
      </c>
      <c r="L96" s="303"/>
      <c r="M96" s="303"/>
      <c r="N96" s="303"/>
      <c r="O96" s="303"/>
      <c r="P96" s="6"/>
      <c r="Q96" s="5"/>
      <c r="R96" s="5"/>
      <c r="S96" s="5"/>
      <c r="T96" s="5"/>
      <c r="U96" s="5"/>
      <c r="V96" s="5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2.75" customHeight="1" x14ac:dyDescent="0.2">
      <c r="A97" s="6"/>
      <c r="B97" s="5"/>
      <c r="C97" s="140">
        <f>O37</f>
        <v>2.971043472997793E-2</v>
      </c>
      <c r="D97" s="141">
        <f>+E97-0.5</f>
        <v>-1</v>
      </c>
      <c r="E97" s="141">
        <f>+F97-0.5</f>
        <v>-0.5</v>
      </c>
      <c r="F97" s="142">
        <v>0</v>
      </c>
      <c r="G97" s="141">
        <f>+F97+0.5</f>
        <v>0.5</v>
      </c>
      <c r="H97" s="141">
        <f>+G97+0.5</f>
        <v>1</v>
      </c>
      <c r="I97" s="5"/>
      <c r="J97" s="140">
        <f>O43</f>
        <v>9.194222100024394</v>
      </c>
      <c r="K97" s="141">
        <f>+L97-0.5</f>
        <v>-1</v>
      </c>
      <c r="L97" s="141">
        <f>+M97-0.5</f>
        <v>-0.5</v>
      </c>
      <c r="M97" s="142">
        <v>0</v>
      </c>
      <c r="N97" s="141">
        <f>+M97+0.5</f>
        <v>0.5</v>
      </c>
      <c r="O97" s="141">
        <f>+N97+0.5</f>
        <v>1</v>
      </c>
      <c r="P97" s="6"/>
      <c r="Q97" s="5"/>
      <c r="R97" s="5"/>
      <c r="S97" s="5"/>
      <c r="T97" s="5"/>
      <c r="U97" s="5"/>
      <c r="V97" s="5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2.75" customHeight="1" x14ac:dyDescent="0.2">
      <c r="A98" s="6"/>
      <c r="B98" s="304" t="s">
        <v>60</v>
      </c>
      <c r="C98" s="99">
        <f>+C99-0.005</f>
        <v>-0.01</v>
      </c>
      <c r="D98" s="147"/>
      <c r="E98" s="148"/>
      <c r="F98" s="148"/>
      <c r="G98" s="148"/>
      <c r="H98" s="148"/>
      <c r="I98" s="304" t="s">
        <v>60</v>
      </c>
      <c r="J98" s="99">
        <f>+J99-0.005</f>
        <v>-0.01</v>
      </c>
      <c r="K98" s="152"/>
      <c r="L98" s="153"/>
      <c r="M98" s="153"/>
      <c r="N98" s="153"/>
      <c r="O98" s="153"/>
      <c r="P98" s="6"/>
      <c r="Q98" s="5"/>
      <c r="R98" s="5"/>
      <c r="S98" s="5"/>
      <c r="T98" s="5"/>
      <c r="U98" s="5"/>
      <c r="V98" s="5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2.75" customHeight="1" x14ac:dyDescent="0.2">
      <c r="A99" s="6"/>
      <c r="B99" s="303"/>
      <c r="C99" s="99">
        <f>+C100-0.005</f>
        <v>-5.0000000000000001E-3</v>
      </c>
      <c r="D99" s="101"/>
      <c r="E99" s="104"/>
      <c r="F99" s="104"/>
      <c r="G99" s="104"/>
      <c r="H99" s="102"/>
      <c r="I99" s="303"/>
      <c r="J99" s="99">
        <f>+J100-0.005</f>
        <v>-5.0000000000000001E-3</v>
      </c>
      <c r="K99" s="154"/>
      <c r="L99" s="155"/>
      <c r="M99" s="155"/>
      <c r="N99" s="155"/>
      <c r="O99" s="156"/>
      <c r="P99" s="6"/>
      <c r="Q99" s="5"/>
      <c r="R99" s="5"/>
      <c r="S99" s="5"/>
      <c r="T99" s="5"/>
      <c r="U99" s="5"/>
      <c r="V99" s="5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2.75" customHeight="1" x14ac:dyDescent="0.2">
      <c r="A100" s="6"/>
      <c r="B100" s="303"/>
      <c r="C100" s="105">
        <v>0</v>
      </c>
      <c r="D100" s="101"/>
      <c r="E100" s="104"/>
      <c r="F100" s="107"/>
      <c r="G100" s="104"/>
      <c r="H100" s="102"/>
      <c r="I100" s="303"/>
      <c r="J100" s="105">
        <v>0</v>
      </c>
      <c r="K100" s="154"/>
      <c r="L100" s="155"/>
      <c r="M100" s="157"/>
      <c r="N100" s="155"/>
      <c r="O100" s="156"/>
      <c r="P100" s="6"/>
      <c r="Q100" s="5"/>
      <c r="R100" s="5"/>
      <c r="S100" s="5"/>
      <c r="T100" s="5"/>
      <c r="U100" s="5"/>
      <c r="V100" s="5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2.75" customHeight="1" x14ac:dyDescent="0.2">
      <c r="A101" s="6"/>
      <c r="B101" s="303"/>
      <c r="C101" s="99">
        <f>+C100+0.005</f>
        <v>5.0000000000000001E-3</v>
      </c>
      <c r="D101" s="101"/>
      <c r="E101" s="104"/>
      <c r="F101" s="104"/>
      <c r="G101" s="104"/>
      <c r="H101" s="102"/>
      <c r="I101" s="303"/>
      <c r="J101" s="99">
        <f>+J100+0.005</f>
        <v>5.0000000000000001E-3</v>
      </c>
      <c r="K101" s="154"/>
      <c r="L101" s="155"/>
      <c r="M101" s="155"/>
      <c r="N101" s="155"/>
      <c r="O101" s="156"/>
      <c r="P101" s="6"/>
      <c r="Q101" s="5"/>
      <c r="R101" s="5"/>
      <c r="S101" s="5"/>
      <c r="T101" s="5"/>
      <c r="U101" s="5"/>
      <c r="V101" s="5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2.75" customHeight="1" x14ac:dyDescent="0.2">
      <c r="A102" s="6"/>
      <c r="B102" s="303"/>
      <c r="C102" s="99">
        <f>+C101+0.005</f>
        <v>0.01</v>
      </c>
      <c r="D102" s="101"/>
      <c r="E102" s="102"/>
      <c r="F102" s="102"/>
      <c r="G102" s="102"/>
      <c r="H102" s="102"/>
      <c r="I102" s="303"/>
      <c r="J102" s="99">
        <f>+J101+0.005</f>
        <v>0.01</v>
      </c>
      <c r="K102" s="154"/>
      <c r="L102" s="156"/>
      <c r="M102" s="156"/>
      <c r="N102" s="156"/>
      <c r="O102" s="156"/>
      <c r="P102" s="6"/>
      <c r="Q102" s="5"/>
      <c r="R102" s="5"/>
      <c r="S102" s="5"/>
      <c r="T102" s="5"/>
      <c r="U102" s="5"/>
      <c r="V102" s="5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2.75" customHeight="1" x14ac:dyDescent="0.2">
      <c r="A103" s="6"/>
      <c r="B103" s="262"/>
      <c r="C103" s="80"/>
      <c r="D103" s="81"/>
      <c r="E103" s="81"/>
      <c r="F103" s="81"/>
      <c r="G103" s="81"/>
      <c r="H103" s="81"/>
      <c r="I103" s="262"/>
      <c r="J103" s="80"/>
      <c r="K103" s="156"/>
      <c r="L103" s="156"/>
      <c r="M103" s="156"/>
      <c r="N103" s="156"/>
      <c r="O103" s="156"/>
      <c r="P103" s="6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2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2.75" customHeight="1" x14ac:dyDescent="0.2">
      <c r="A105" s="6"/>
      <c r="B105" s="109"/>
      <c r="C105" s="110"/>
      <c r="D105" s="110"/>
      <c r="E105" s="111"/>
      <c r="F105" s="112"/>
      <c r="G105" s="112"/>
      <c r="H105" s="112"/>
      <c r="I105" s="109"/>
      <c r="J105" s="113"/>
      <c r="K105" s="270"/>
      <c r="L105" s="270"/>
      <c r="M105" s="270"/>
      <c r="N105" s="270"/>
      <c r="O105" s="270"/>
      <c r="P105" s="5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2.75" customHeight="1" x14ac:dyDescent="0.2">
      <c r="A106" s="6"/>
      <c r="B106" s="68"/>
      <c r="C106" s="14"/>
      <c r="D106" s="14"/>
      <c r="E106" s="108"/>
      <c r="F106" s="57"/>
      <c r="G106" s="57"/>
      <c r="H106" s="57"/>
      <c r="I106" s="68"/>
      <c r="J106" s="5"/>
      <c r="K106" s="269"/>
      <c r="L106" s="269"/>
      <c r="M106" s="269"/>
      <c r="N106" s="269"/>
      <c r="O106" s="269"/>
      <c r="P106" s="5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2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" customHeight="1" x14ac:dyDescent="0.2">
      <c r="A108" s="6"/>
      <c r="B108" s="309" t="s">
        <v>90</v>
      </c>
      <c r="C108" s="303"/>
      <c r="D108" s="303"/>
      <c r="E108" s="303"/>
      <c r="F108" s="303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2.75" customHeight="1" x14ac:dyDescent="0.2">
      <c r="A109" s="6"/>
      <c r="B109" s="158" t="s">
        <v>55</v>
      </c>
      <c r="C109" s="158"/>
      <c r="D109" s="158"/>
      <c r="E109" s="159"/>
      <c r="F109" s="160">
        <f>+J33</f>
        <v>154164769.97630683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2.75" customHeight="1" x14ac:dyDescent="0.2">
      <c r="A110" s="6"/>
      <c r="B110" s="159" t="s">
        <v>59</v>
      </c>
      <c r="C110" s="159"/>
      <c r="D110" s="159"/>
      <c r="E110" s="159"/>
      <c r="F110" s="161">
        <f>+J34</f>
        <v>-21073487.486000001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2.75" customHeight="1" x14ac:dyDescent="0.2">
      <c r="A111" s="6"/>
      <c r="B111" s="159" t="s">
        <v>62</v>
      </c>
      <c r="C111" s="159"/>
      <c r="D111" s="159"/>
      <c r="E111" s="159"/>
      <c r="F111" s="161">
        <f>+J35</f>
        <v>0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2.75" customHeight="1" x14ac:dyDescent="0.2">
      <c r="A112" s="6"/>
      <c r="B112" s="159" t="s">
        <v>63</v>
      </c>
      <c r="C112" s="159"/>
      <c r="D112" s="159"/>
      <c r="E112" s="159"/>
      <c r="F112" s="161">
        <f>+J36</f>
        <v>-1856211.821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" customHeight="1" x14ac:dyDescent="0.2">
      <c r="A113" s="6"/>
      <c r="B113" s="159" t="s">
        <v>65</v>
      </c>
      <c r="C113" s="159"/>
      <c r="D113" s="159"/>
      <c r="E113" s="159"/>
      <c r="F113" s="162">
        <f>+J37</f>
        <v>10522105.73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2.75" customHeight="1" x14ac:dyDescent="0.2">
      <c r="A114" s="6"/>
      <c r="B114" s="61" t="s">
        <v>69</v>
      </c>
      <c r="C114" s="61"/>
      <c r="D114" s="61"/>
      <c r="E114" s="163"/>
      <c r="F114" s="66">
        <f>F109+SUM(F110:F113)</f>
        <v>141757176.39930683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2.75" customHeight="1" x14ac:dyDescent="0.2">
      <c r="A115" s="6"/>
      <c r="B115" s="11"/>
      <c r="C115" s="11"/>
      <c r="D115" s="11"/>
      <c r="E115" s="12"/>
      <c r="F115" s="108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" customHeight="1" x14ac:dyDescent="0.2">
      <c r="A116" s="6"/>
      <c r="B116" s="308" t="s">
        <v>91</v>
      </c>
      <c r="C116" s="303"/>
      <c r="D116" s="303"/>
      <c r="E116" s="303"/>
      <c r="F116" s="303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2.75" customHeight="1" x14ac:dyDescent="0.2">
      <c r="A117" s="6"/>
      <c r="B117" s="164"/>
      <c r="C117" s="164" t="s">
        <v>92</v>
      </c>
      <c r="D117" s="164" t="s">
        <v>93</v>
      </c>
      <c r="E117" s="164" t="s">
        <v>94</v>
      </c>
      <c r="F117" s="164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5" customHeight="1" x14ac:dyDescent="0.2">
      <c r="A118" s="6"/>
      <c r="B118" s="165" t="s">
        <v>95</v>
      </c>
      <c r="C118" s="165" t="s">
        <v>96</v>
      </c>
      <c r="D118" s="165" t="s">
        <v>97</v>
      </c>
      <c r="E118" s="165" t="s">
        <v>96</v>
      </c>
      <c r="F118" s="165" t="s">
        <v>98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2.75" customHeight="1" x14ac:dyDescent="0.2">
      <c r="A119" s="6"/>
      <c r="B119" s="159" t="s">
        <v>99</v>
      </c>
      <c r="C119" s="166">
        <v>0</v>
      </c>
      <c r="D119" s="274">
        <v>0</v>
      </c>
      <c r="E119" s="275">
        <f>+IF(ISERROR(+IF(D119&lt;$F$133,C119,0)),0,IF(D119&lt;$F$133,C119,0))</f>
        <v>0</v>
      </c>
      <c r="F119" s="167">
        <f>E119*D119</f>
        <v>0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2.75" customHeight="1" x14ac:dyDescent="0.2">
      <c r="A120" s="6"/>
      <c r="B120" s="159" t="s">
        <v>100</v>
      </c>
      <c r="C120" s="166">
        <v>0</v>
      </c>
      <c r="D120" s="168">
        <v>0</v>
      </c>
      <c r="E120" s="275">
        <f>+IF(ISERROR(+IF(D120&lt;$F$133,C120,0)),0,IF(D120&lt;$F$133,C120,0))</f>
        <v>0</v>
      </c>
      <c r="F120" s="167">
        <f>E120*D120</f>
        <v>0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2.75" customHeight="1" x14ac:dyDescent="0.2">
      <c r="A121" s="6"/>
      <c r="B121" s="159" t="s">
        <v>101</v>
      </c>
      <c r="C121" s="166">
        <v>0</v>
      </c>
      <c r="D121" s="168">
        <v>0</v>
      </c>
      <c r="E121" s="275">
        <f>+IF(ISERROR(+IF(D121&lt;$F$133,C121,0)),0,IF(D121&lt;$F$133,C121,0))</f>
        <v>0</v>
      </c>
      <c r="F121" s="167">
        <f>E121*D121</f>
        <v>0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2.75" customHeight="1" x14ac:dyDescent="0.2">
      <c r="A122" s="6"/>
      <c r="B122" s="159" t="s">
        <v>102</v>
      </c>
      <c r="C122" s="166">
        <v>0</v>
      </c>
      <c r="D122" s="168">
        <v>0</v>
      </c>
      <c r="E122" s="275">
        <f>+IF(ISERROR(+IF(D122&lt;$F$133,C122,0)),0,IF(D122&lt;$F$133,C122,0))</f>
        <v>0</v>
      </c>
      <c r="F122" s="167">
        <f>E122*D122</f>
        <v>0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" customHeight="1" x14ac:dyDescent="0.2">
      <c r="A123" s="6"/>
      <c r="B123" s="159" t="s">
        <v>103</v>
      </c>
      <c r="C123" s="169">
        <v>0</v>
      </c>
      <c r="D123" s="170">
        <v>0</v>
      </c>
      <c r="E123" s="276">
        <f>+IF(ISERROR(+IF(D123&lt;$F$133,C123,0)),0,IF(D123&lt;$F$133,C123,0))</f>
        <v>0</v>
      </c>
      <c r="F123" s="171">
        <f>E123*D123</f>
        <v>0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2.75" customHeight="1" x14ac:dyDescent="0.2">
      <c r="A124" s="6"/>
      <c r="B124" s="158" t="s">
        <v>104</v>
      </c>
      <c r="C124" s="277">
        <f>SUM(C119:C123)</f>
        <v>0</v>
      </c>
      <c r="D124" s="172"/>
      <c r="E124" s="277">
        <f>SUM(E119:E123)</f>
        <v>0</v>
      </c>
      <c r="F124" s="160">
        <f>SUM(F119:F123)</f>
        <v>0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ht="12.75" customHeight="1" x14ac:dyDescent="0.2">
      <c r="A125" s="6"/>
      <c r="B125" s="12"/>
      <c r="C125" s="12"/>
      <c r="D125" s="12"/>
      <c r="E125" s="12"/>
      <c r="F125" s="12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12.75" customHeight="1" x14ac:dyDescent="0.2">
      <c r="A126" s="5"/>
      <c r="B126" s="159" t="s">
        <v>105</v>
      </c>
      <c r="C126" s="159"/>
      <c r="D126" s="159"/>
      <c r="E126" s="159"/>
      <c r="F126" s="278">
        <v>1703.5071210000001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2.75" customHeight="1" x14ac:dyDescent="0.2">
      <c r="A127" s="5"/>
      <c r="B127" s="159" t="s">
        <v>106</v>
      </c>
      <c r="C127" s="159"/>
      <c r="D127" s="159"/>
      <c r="E127" s="159"/>
      <c r="F127" s="279">
        <v>0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" customHeight="1" x14ac:dyDescent="0.2">
      <c r="A128" s="5"/>
      <c r="B128" s="159" t="s">
        <v>107</v>
      </c>
      <c r="C128" s="159"/>
      <c r="D128" s="159"/>
      <c r="E128" s="159"/>
      <c r="F128" s="279">
        <v>0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2.75" customHeight="1" x14ac:dyDescent="0.2">
      <c r="A129" s="14"/>
      <c r="B129" s="158" t="s">
        <v>108</v>
      </c>
      <c r="C129" s="158"/>
      <c r="D129" s="158"/>
      <c r="E129" s="158"/>
      <c r="F129" s="279">
        <v>0</v>
      </c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</row>
    <row r="130" spans="1:35" ht="15" customHeight="1" x14ac:dyDescent="0.2">
      <c r="A130" s="5"/>
      <c r="B130" s="159" t="s">
        <v>109</v>
      </c>
      <c r="C130" s="159"/>
      <c r="D130" s="159"/>
      <c r="E130" s="159"/>
      <c r="F130" s="280">
        <v>0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2.75" customHeight="1" x14ac:dyDescent="0.2">
      <c r="A131" s="5"/>
      <c r="B131" s="158" t="s">
        <v>110</v>
      </c>
      <c r="C131" s="159"/>
      <c r="D131" s="159"/>
      <c r="E131" s="159"/>
      <c r="F131" s="277">
        <f>F126+SUM(F129:F130)</f>
        <v>1703.5071210000001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15" customHeight="1" x14ac:dyDescent="0.2">
      <c r="A132" s="5"/>
      <c r="B132" s="12"/>
      <c r="C132" s="12"/>
      <c r="D132" s="12"/>
      <c r="E132" s="12"/>
      <c r="F132" s="281" t="s">
        <v>67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5" customHeight="1" x14ac:dyDescent="0.2">
      <c r="A133" s="5"/>
      <c r="B133" s="61" t="s">
        <v>73</v>
      </c>
      <c r="C133" s="61"/>
      <c r="D133" s="61"/>
      <c r="E133" s="163"/>
      <c r="F133" s="282">
        <f>+IF(ISERROR(F114/F131),0,F114/F131)</f>
        <v>83214.900983854954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2.75" customHeight="1" x14ac:dyDescent="0.2">
      <c r="A134" s="5"/>
      <c r="B134" s="5"/>
      <c r="C134" s="5"/>
      <c r="D134" s="5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2.75" customHeight="1" x14ac:dyDescent="0.2">
      <c r="A135" s="5"/>
      <c r="B135" s="5"/>
      <c r="C135" s="5"/>
      <c r="D135" s="5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2.75" customHeight="1" x14ac:dyDescent="0.2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2.75" customHeight="1" x14ac:dyDescent="0.2">
      <c r="A137" s="5"/>
      <c r="B137" s="5"/>
      <c r="C137" s="5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2.75" customHeight="1" x14ac:dyDescent="0.2">
      <c r="A138" s="5"/>
      <c r="B138" s="5"/>
      <c r="C138" s="5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2.75" customHeight="1" x14ac:dyDescent="0.2">
      <c r="A139" s="5"/>
      <c r="B139" s="5"/>
      <c r="C139" s="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2.75" customHeight="1" x14ac:dyDescent="0.2">
      <c r="A140" s="5"/>
      <c r="B140" s="5"/>
      <c r="C140" s="5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2.75" customHeight="1" x14ac:dyDescent="0.2">
      <c r="A141" s="5"/>
      <c r="B141" s="5"/>
      <c r="C141" s="5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2.75" customHeight="1" x14ac:dyDescent="0.2">
      <c r="A142" s="5"/>
      <c r="B142" s="5"/>
      <c r="C142" s="5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2.75" customHeight="1" x14ac:dyDescent="0.2">
      <c r="A143" s="5"/>
      <c r="B143" s="5"/>
      <c r="C143" s="5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2.75" customHeight="1" x14ac:dyDescent="0.2">
      <c r="A144" s="5"/>
      <c r="B144" s="5"/>
      <c r="C144" s="5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2.75" customHeight="1" x14ac:dyDescent="0.2">
      <c r="A145" s="6"/>
      <c r="B145" s="5"/>
      <c r="C145" s="5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"/>
      <c r="Q145" s="5"/>
      <c r="R145" s="5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2.75" customHeight="1" x14ac:dyDescent="0.2">
      <c r="A146" s="6"/>
      <c r="B146" s="5"/>
      <c r="C146" s="5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5"/>
      <c r="Q146" s="5"/>
      <c r="R146" s="5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2.75" customHeight="1" x14ac:dyDescent="0.2">
      <c r="A147" s="6"/>
      <c r="B147" s="5"/>
      <c r="C147" s="5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5"/>
      <c r="Q147" s="5"/>
      <c r="R147" s="5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12.75" customHeight="1" x14ac:dyDescent="0.2">
      <c r="A148" s="6"/>
      <c r="B148" s="5"/>
      <c r="C148" s="5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5"/>
      <c r="Q148" s="5"/>
      <c r="R148" s="5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12.75" customHeight="1" x14ac:dyDescent="0.2">
      <c r="A149" s="6"/>
      <c r="B149" s="5"/>
      <c r="C149" s="5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5"/>
      <c r="Q149" s="5"/>
      <c r="R149" s="5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2.75" customHeight="1" x14ac:dyDescent="0.2">
      <c r="A150" s="6"/>
      <c r="B150" s="5"/>
      <c r="C150" s="5"/>
      <c r="D150" s="5"/>
      <c r="E150" s="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5"/>
      <c r="Q150" s="5"/>
      <c r="R150" s="5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2.75" customHeight="1" x14ac:dyDescent="0.2">
      <c r="A151" s="6"/>
      <c r="B151" s="5"/>
      <c r="C151" s="5"/>
      <c r="D151" s="5"/>
      <c r="E151" s="5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5"/>
      <c r="Q151" s="5"/>
      <c r="R151" s="5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12.75" customHeight="1" x14ac:dyDescent="0.2">
      <c r="A152" s="6"/>
      <c r="B152" s="5"/>
      <c r="C152" s="5"/>
      <c r="D152" s="5"/>
      <c r="E152" s="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5"/>
      <c r="Q152" s="5"/>
      <c r="R152" s="5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12.75" customHeight="1" x14ac:dyDescent="0.2">
      <c r="A153" s="6"/>
      <c r="B153" s="5"/>
      <c r="C153" s="5"/>
      <c r="D153" s="5"/>
      <c r="E153" s="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5"/>
      <c r="Q153" s="5"/>
      <c r="R153" s="5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2.75" customHeight="1" x14ac:dyDescent="0.2">
      <c r="A154" s="6"/>
      <c r="B154" s="5"/>
      <c r="C154" s="5"/>
      <c r="D154" s="5"/>
      <c r="E154" s="5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5"/>
      <c r="Q154" s="5"/>
      <c r="R154" s="5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ht="12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5"/>
      <c r="Q155" s="5"/>
      <c r="R155" s="5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12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5"/>
      <c r="Q156" s="5"/>
      <c r="R156" s="5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12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5"/>
      <c r="Q157" s="5"/>
      <c r="R157" s="5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12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5"/>
      <c r="Q158" s="5"/>
      <c r="R158" s="5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12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5"/>
      <c r="Q159" s="5"/>
      <c r="R159" s="5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12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5"/>
      <c r="Q160" s="5"/>
      <c r="R160" s="5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12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5"/>
      <c r="Q161" s="5"/>
      <c r="R161" s="5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12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5"/>
      <c r="Q162" s="5"/>
      <c r="R162" s="5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12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5"/>
      <c r="Q163" s="5"/>
      <c r="R163" s="5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12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5"/>
      <c r="Q164" s="5"/>
      <c r="R164" s="5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12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5"/>
      <c r="Q165" s="5"/>
      <c r="R165" s="5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12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5"/>
      <c r="Q166" s="5"/>
      <c r="R166" s="5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12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5"/>
      <c r="Q167" s="5"/>
      <c r="R167" s="5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12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5"/>
      <c r="Q168" s="5"/>
      <c r="R168" s="5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12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5"/>
      <c r="Q169" s="5"/>
      <c r="R169" s="5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12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5"/>
      <c r="Q170" s="5"/>
      <c r="R170" s="5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2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"/>
      <c r="Q171" s="5"/>
      <c r="R171" s="5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2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"/>
      <c r="Q172" s="5"/>
      <c r="R172" s="5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2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5"/>
      <c r="Q173" s="5"/>
      <c r="R173" s="5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2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"/>
      <c r="Q174" s="5"/>
      <c r="R174" s="5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2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"/>
      <c r="Q175" s="5"/>
      <c r="R175" s="5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2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"/>
      <c r="Q176" s="5"/>
      <c r="R176" s="5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12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"/>
      <c r="Q177" s="5"/>
      <c r="R177" s="5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2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"/>
      <c r="Q178" s="5"/>
      <c r="R178" s="5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2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"/>
      <c r="Q179" s="5"/>
      <c r="R179" s="5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2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"/>
      <c r="Q180" s="5"/>
      <c r="R180" s="5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12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"/>
      <c r="Q181" s="5"/>
      <c r="R181" s="5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12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"/>
      <c r="Q182" s="5"/>
      <c r="R182" s="5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12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"/>
      <c r="Q183" s="5"/>
      <c r="R183" s="5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12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"/>
      <c r="Q184" s="5"/>
      <c r="R184" s="5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12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"/>
      <c r="Q185" s="5"/>
      <c r="R185" s="5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12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"/>
      <c r="Q186" s="5"/>
      <c r="R186" s="5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12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"/>
      <c r="Q187" s="5"/>
      <c r="R187" s="5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12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"/>
      <c r="Q188" s="5"/>
      <c r="R188" s="5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12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"/>
      <c r="Q189" s="5"/>
      <c r="R189" s="5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12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"/>
      <c r="Q190" s="5"/>
      <c r="R190" s="5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12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"/>
      <c r="Q191" s="5"/>
      <c r="R191" s="5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12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"/>
      <c r="Q192" s="5"/>
      <c r="R192" s="5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12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"/>
      <c r="Q193" s="5"/>
      <c r="R193" s="5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12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5"/>
      <c r="Q194" s="5"/>
      <c r="R194" s="5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12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5"/>
      <c r="Q195" s="5"/>
      <c r="R195" s="5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12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5"/>
      <c r="Q196" s="5"/>
      <c r="R196" s="5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12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5"/>
      <c r="Q197" s="5"/>
      <c r="R197" s="5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12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5"/>
      <c r="Q198" s="5"/>
      <c r="R198" s="5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2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5"/>
      <c r="Q199" s="5"/>
      <c r="R199" s="5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12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5"/>
      <c r="Q200" s="5"/>
      <c r="R200" s="5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12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5"/>
      <c r="Q201" s="5"/>
      <c r="R201" s="5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12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5"/>
      <c r="Q202" s="5"/>
      <c r="R202" s="5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5"/>
      <c r="Q203" s="5"/>
      <c r="R203" s="5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12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5"/>
      <c r="Q204" s="5"/>
      <c r="R204" s="5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2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5"/>
      <c r="Q205" s="5"/>
      <c r="R205" s="5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2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5"/>
      <c r="Q206" s="5"/>
      <c r="R206" s="5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12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5"/>
      <c r="Q207" s="5"/>
      <c r="R207" s="5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12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5"/>
      <c r="Q208" s="5"/>
      <c r="R208" s="5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2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5"/>
      <c r="Q209" s="5"/>
      <c r="R209" s="5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ht="12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5"/>
      <c r="Q210" s="5"/>
      <c r="R210" s="5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ht="12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5"/>
      <c r="Q211" s="5"/>
      <c r="R211" s="5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ht="12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5"/>
      <c r="Q212" s="5"/>
      <c r="R212" s="5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ht="12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5"/>
      <c r="Q213" s="5"/>
      <c r="R213" s="5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ht="12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5"/>
      <c r="Q214" s="5"/>
      <c r="R214" s="5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ht="12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5"/>
      <c r="Q215" s="5"/>
      <c r="R215" s="5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ht="12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5"/>
      <c r="Q216" s="5"/>
      <c r="R216" s="5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ht="12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5"/>
      <c r="Q217" s="5"/>
      <c r="R217" s="5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ht="12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5"/>
      <c r="Q218" s="5"/>
      <c r="R218" s="5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ht="12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5"/>
      <c r="Q219" s="5"/>
      <c r="R219" s="5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ht="12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5"/>
      <c r="Q220" s="5"/>
      <c r="R220" s="5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ht="12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5"/>
      <c r="Q221" s="5"/>
      <c r="R221" s="5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ht="12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5"/>
      <c r="Q222" s="5"/>
      <c r="R222" s="5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ht="12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5"/>
      <c r="Q223" s="5"/>
      <c r="R223" s="5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ht="12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5"/>
      <c r="Q224" s="5"/>
      <c r="R224" s="5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ht="12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5"/>
      <c r="Q225" s="5"/>
      <c r="R225" s="5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ht="12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5"/>
      <c r="Q226" s="5"/>
      <c r="R226" s="5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ht="12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5"/>
      <c r="Q227" s="5"/>
      <c r="R227" s="5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ht="12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5"/>
      <c r="Q228" s="5"/>
      <c r="R228" s="5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ht="12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5"/>
      <c r="Q229" s="5"/>
      <c r="R229" s="5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ht="12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5"/>
      <c r="Q230" s="5"/>
      <c r="R230" s="5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ht="12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5"/>
      <c r="Q231" s="5"/>
      <c r="R231" s="5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ht="12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5"/>
      <c r="Q232" s="5"/>
      <c r="R232" s="5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ht="12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5"/>
      <c r="Q233" s="5"/>
      <c r="R233" s="5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ht="12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5"/>
      <c r="Q234" s="5"/>
      <c r="R234" s="5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2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"/>
      <c r="Q235" s="5"/>
      <c r="R235" s="5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ht="12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5"/>
      <c r="Q236" s="5"/>
      <c r="R236" s="5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ht="12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5"/>
      <c r="Q237" s="5"/>
      <c r="R237" s="5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ht="12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5"/>
      <c r="Q238" s="5"/>
      <c r="R238" s="5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ht="12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5"/>
      <c r="Q239" s="5"/>
      <c r="R239" s="5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ht="12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5"/>
      <c r="Q240" s="5"/>
      <c r="R240" s="5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ht="12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5"/>
      <c r="Q241" s="5"/>
      <c r="R241" s="5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ht="12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5"/>
      <c r="Q242" s="5"/>
      <c r="R242" s="5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ht="12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5"/>
      <c r="Q243" s="5"/>
      <c r="R243" s="5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ht="12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5"/>
      <c r="Q244" s="5"/>
      <c r="R244" s="5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ht="12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5"/>
      <c r="Q245" s="5"/>
      <c r="R245" s="5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ht="12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5"/>
      <c r="Q246" s="5"/>
      <c r="R246" s="5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ht="12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5"/>
      <c r="Q247" s="5"/>
      <c r="R247" s="5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ht="12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5"/>
      <c r="Q248" s="5"/>
      <c r="R248" s="5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ht="12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5"/>
      <c r="Q249" s="5"/>
      <c r="R249" s="5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ht="12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5"/>
      <c r="Q250" s="5"/>
      <c r="R250" s="5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ht="12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5"/>
      <c r="Q251" s="5"/>
      <c r="R251" s="5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ht="12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"/>
      <c r="Q252" s="5"/>
      <c r="R252" s="5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ht="12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5"/>
      <c r="Q253" s="5"/>
      <c r="R253" s="5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ht="12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5"/>
      <c r="Q254" s="5"/>
      <c r="R254" s="5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ht="12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5"/>
      <c r="Q255" s="5"/>
      <c r="R255" s="5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ht="12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5"/>
      <c r="Q256" s="5"/>
      <c r="R256" s="5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ht="12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5"/>
      <c r="Q257" s="5"/>
      <c r="R257" s="5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ht="12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5"/>
      <c r="Q258" s="5"/>
      <c r="R258" s="5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ht="12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5"/>
      <c r="Q259" s="5"/>
      <c r="R259" s="5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ht="12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5"/>
      <c r="Q260" s="5"/>
      <c r="R260" s="5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ht="12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5"/>
      <c r="Q261" s="5"/>
      <c r="R261" s="5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ht="12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5"/>
      <c r="Q262" s="5"/>
      <c r="R262" s="5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ht="12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5"/>
      <c r="Q263" s="5"/>
      <c r="R263" s="5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ht="12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5"/>
      <c r="Q264" s="5"/>
      <c r="R264" s="5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ht="12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5"/>
      <c r="Q265" s="5"/>
      <c r="R265" s="5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ht="12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5"/>
      <c r="Q266" s="5"/>
      <c r="R266" s="5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ht="12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5"/>
      <c r="Q267" s="5"/>
      <c r="R267" s="5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ht="12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5"/>
      <c r="Q268" s="5"/>
      <c r="R268" s="5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ht="12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5"/>
      <c r="Q269" s="5"/>
      <c r="R269" s="5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ht="12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5"/>
      <c r="Q270" s="5"/>
      <c r="R270" s="5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ht="12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5"/>
      <c r="Q271" s="5"/>
      <c r="R271" s="5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2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5"/>
      <c r="Q272" s="5"/>
      <c r="R272" s="5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ht="12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"/>
      <c r="Q273" s="5"/>
      <c r="R273" s="5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ht="12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5"/>
      <c r="Q274" s="5"/>
      <c r="R274" s="5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2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5"/>
      <c r="Q275" s="5"/>
      <c r="R275" s="5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ht="12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"/>
      <c r="Q276" s="5"/>
      <c r="R276" s="5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ht="12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5"/>
      <c r="Q277" s="5"/>
      <c r="R277" s="5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ht="12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5"/>
      <c r="Q278" s="5"/>
      <c r="R278" s="5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ht="12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5"/>
      <c r="Q279" s="5"/>
      <c r="R279" s="5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2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5"/>
      <c r="Q280" s="5"/>
      <c r="R280" s="5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ht="12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5"/>
      <c r="Q281" s="5"/>
      <c r="R281" s="5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ht="12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5"/>
      <c r="Q282" s="5"/>
      <c r="R282" s="5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ht="12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5"/>
      <c r="Q283" s="5"/>
      <c r="R283" s="5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ht="12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5"/>
      <c r="Q284" s="5"/>
      <c r="R284" s="5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ht="12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"/>
      <c r="Q285" s="5"/>
      <c r="R285" s="5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ht="12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5"/>
      <c r="Q286" s="5"/>
      <c r="R286" s="5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ht="12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5"/>
      <c r="Q287" s="5"/>
      <c r="R287" s="5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ht="12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"/>
      <c r="Q288" s="5"/>
      <c r="R288" s="5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ht="12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5"/>
      <c r="Q289" s="5"/>
      <c r="R289" s="5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ht="12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5"/>
      <c r="Q290" s="5"/>
      <c r="R290" s="5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12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5"/>
      <c r="Q291" s="5"/>
      <c r="R291" s="5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ht="12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5"/>
      <c r="Q292" s="5"/>
      <c r="R292" s="5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ht="12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5"/>
      <c r="Q293" s="5"/>
      <c r="R293" s="5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ht="12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5"/>
      <c r="Q294" s="5"/>
      <c r="R294" s="5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ht="12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5"/>
      <c r="Q295" s="5"/>
      <c r="R295" s="5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ht="12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5"/>
      <c r="Q296" s="5"/>
      <c r="R296" s="5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ht="12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5"/>
      <c r="Q297" s="5"/>
      <c r="R297" s="5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ht="12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5"/>
      <c r="Q298" s="5"/>
      <c r="R298" s="5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ht="12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5"/>
      <c r="Q299" s="5"/>
      <c r="R299" s="5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 ht="12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5"/>
      <c r="Q300" s="5"/>
      <c r="R300" s="5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 ht="12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5"/>
      <c r="Q301" s="5"/>
      <c r="R301" s="5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</row>
    <row r="302" spans="1:35" ht="12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5"/>
      <c r="Q302" s="5"/>
      <c r="R302" s="5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 ht="12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"/>
      <c r="Q303" s="5"/>
      <c r="R303" s="5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</row>
    <row r="304" spans="1:35" ht="12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5"/>
      <c r="Q304" s="5"/>
      <c r="R304" s="5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 ht="12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5"/>
      <c r="Q305" s="5"/>
      <c r="R305" s="5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</row>
    <row r="306" spans="1:35" ht="12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5"/>
      <c r="Q306" s="5"/>
      <c r="R306" s="5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 ht="12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5"/>
      <c r="Q307" s="5"/>
      <c r="R307" s="5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</row>
    <row r="308" spans="1:35" ht="12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5"/>
      <c r="Q308" s="5"/>
      <c r="R308" s="5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</row>
    <row r="309" spans="1:35" ht="12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5"/>
      <c r="Q309" s="5"/>
      <c r="R309" s="5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 ht="12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5"/>
      <c r="Q310" s="5"/>
      <c r="R310" s="5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</row>
    <row r="311" spans="1:35" ht="12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5"/>
      <c r="Q311" s="5"/>
      <c r="R311" s="5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</row>
    <row r="312" spans="1:35" ht="12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5"/>
      <c r="Q312" s="5"/>
      <c r="R312" s="5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</row>
    <row r="313" spans="1:35" ht="12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5"/>
      <c r="Q313" s="5"/>
      <c r="R313" s="5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</row>
    <row r="314" spans="1:35" ht="12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5"/>
      <c r="Q314" s="5"/>
      <c r="R314" s="5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</row>
    <row r="315" spans="1:35" ht="12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5"/>
      <c r="Q315" s="5"/>
      <c r="R315" s="5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</row>
    <row r="316" spans="1:35" ht="12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5"/>
      <c r="Q316" s="5"/>
      <c r="R316" s="5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</row>
    <row r="317" spans="1:35" ht="12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5"/>
      <c r="Q317" s="5"/>
      <c r="R317" s="5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</row>
    <row r="318" spans="1:35" ht="12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5"/>
      <c r="Q318" s="5"/>
      <c r="R318" s="5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</row>
    <row r="319" spans="1:35" ht="12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5"/>
      <c r="Q319" s="5"/>
      <c r="R319" s="5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</row>
    <row r="320" spans="1:35" ht="12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5"/>
      <c r="Q320" s="5"/>
      <c r="R320" s="5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</row>
    <row r="321" spans="1:35" ht="12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5"/>
      <c r="Q321" s="5"/>
      <c r="R321" s="5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</row>
    <row r="322" spans="1:35" ht="12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5"/>
      <c r="Q322" s="5"/>
      <c r="R322" s="5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</row>
    <row r="323" spans="1:35" ht="12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5"/>
      <c r="Q323" s="5"/>
      <c r="R323" s="5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2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5"/>
      <c r="Q324" s="5"/>
      <c r="R324" s="5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2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5"/>
      <c r="Q325" s="5"/>
      <c r="R325" s="5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2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5"/>
      <c r="Q326" s="5"/>
      <c r="R326" s="5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2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5"/>
      <c r="Q327" s="5"/>
      <c r="R327" s="5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2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5"/>
      <c r="Q328" s="5"/>
      <c r="R328" s="5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2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5"/>
      <c r="Q329" s="5"/>
      <c r="R329" s="5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2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5"/>
      <c r="Q330" s="5"/>
      <c r="R330" s="5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2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5"/>
      <c r="Q331" s="5"/>
      <c r="R331" s="5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2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5"/>
      <c r="Q332" s="5"/>
      <c r="R332" s="5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2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5"/>
      <c r="Q333" s="5"/>
      <c r="R333" s="5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</row>
    <row r="334" spans="1:35" ht="12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5"/>
      <c r="Q334" s="5"/>
      <c r="R334" s="5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</row>
    <row r="335" spans="1:35" ht="12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5"/>
      <c r="Q335" s="5"/>
      <c r="R335" s="5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2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5"/>
      <c r="Q336" s="5"/>
      <c r="R336" s="5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</row>
    <row r="337" spans="1:35" ht="12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5"/>
      <c r="Q337" s="5"/>
      <c r="R337" s="5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</row>
    <row r="338" spans="1:35" ht="12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5"/>
      <c r="Q338" s="5"/>
      <c r="R338" s="5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</row>
    <row r="339" spans="1:35" ht="12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5"/>
      <c r="Q339" s="5"/>
      <c r="R339" s="5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</row>
    <row r="340" spans="1:35" ht="12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5"/>
      <c r="Q340" s="5"/>
      <c r="R340" s="5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</row>
    <row r="341" spans="1:35" ht="12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5"/>
      <c r="Q341" s="5"/>
      <c r="R341" s="5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</row>
    <row r="342" spans="1:35" ht="12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5"/>
      <c r="Q342" s="5"/>
      <c r="R342" s="5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</row>
    <row r="343" spans="1:35" ht="12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5"/>
      <c r="Q343" s="5"/>
      <c r="R343" s="5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</row>
    <row r="344" spans="1:35" ht="12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5"/>
      <c r="Q344" s="5"/>
      <c r="R344" s="5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</row>
    <row r="345" spans="1:35" ht="12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5"/>
      <c r="Q345" s="5"/>
      <c r="R345" s="5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</row>
    <row r="346" spans="1:35" ht="12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5"/>
      <c r="Q346" s="5"/>
      <c r="R346" s="5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</row>
    <row r="347" spans="1:35" ht="12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5"/>
      <c r="Q347" s="5"/>
      <c r="R347" s="5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</row>
    <row r="348" spans="1:35" ht="12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5"/>
      <c r="Q348" s="5"/>
      <c r="R348" s="5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</row>
    <row r="349" spans="1:35" ht="12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5"/>
      <c r="Q349" s="5"/>
      <c r="R349" s="5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</row>
    <row r="350" spans="1:35" ht="12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5"/>
      <c r="Q350" s="5"/>
      <c r="R350" s="5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</row>
    <row r="351" spans="1:35" ht="12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5"/>
      <c r="Q351" s="5"/>
      <c r="R351" s="5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</row>
    <row r="352" spans="1:35" ht="12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5"/>
      <c r="Q352" s="5"/>
      <c r="R352" s="5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</row>
    <row r="353" spans="1:35" ht="12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5"/>
      <c r="Q353" s="5"/>
      <c r="R353" s="5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</row>
    <row r="354" spans="1:35" ht="12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5"/>
      <c r="Q354" s="5"/>
      <c r="R354" s="5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</row>
    <row r="355" spans="1:35" ht="12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5"/>
      <c r="Q355" s="5"/>
      <c r="R355" s="5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</row>
    <row r="356" spans="1:35" ht="12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5"/>
      <c r="Q356" s="5"/>
      <c r="R356" s="5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</row>
    <row r="357" spans="1:35" ht="12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5"/>
      <c r="Q357" s="5"/>
      <c r="R357" s="5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</row>
    <row r="358" spans="1:35" ht="12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5"/>
      <c r="Q358" s="5"/>
      <c r="R358" s="5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</row>
    <row r="359" spans="1:35" ht="12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5"/>
      <c r="Q359" s="5"/>
      <c r="R359" s="5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</row>
    <row r="360" spans="1:35" ht="12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5"/>
      <c r="Q360" s="5"/>
      <c r="R360" s="5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</row>
    <row r="361" spans="1:35" ht="12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5"/>
      <c r="Q361" s="5"/>
      <c r="R361" s="5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</row>
    <row r="362" spans="1:35" ht="12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5"/>
      <c r="Q362" s="5"/>
      <c r="R362" s="5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</row>
    <row r="363" spans="1:35" ht="12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5"/>
      <c r="Q363" s="5"/>
      <c r="R363" s="5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</row>
    <row r="364" spans="1:35" ht="12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5"/>
      <c r="Q364" s="5"/>
      <c r="R364" s="5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</row>
    <row r="365" spans="1:35" ht="12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5"/>
      <c r="Q365" s="5"/>
      <c r="R365" s="5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</row>
    <row r="366" spans="1:35" ht="12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5"/>
      <c r="Q366" s="5"/>
      <c r="R366" s="5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</row>
    <row r="367" spans="1:35" ht="12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5"/>
      <c r="Q367" s="5"/>
      <c r="R367" s="5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</row>
    <row r="368" spans="1:35" ht="12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5"/>
      <c r="Q368" s="5"/>
      <c r="R368" s="5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</row>
    <row r="369" spans="1:35" ht="12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5"/>
      <c r="Q369" s="5"/>
      <c r="R369" s="5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</row>
    <row r="370" spans="1:35" ht="12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5"/>
      <c r="Q370" s="5"/>
      <c r="R370" s="5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</row>
    <row r="371" spans="1:35" ht="12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5"/>
      <c r="Q371" s="5"/>
      <c r="R371" s="5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</row>
    <row r="372" spans="1:35" ht="12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5"/>
      <c r="Q372" s="5"/>
      <c r="R372" s="5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</row>
    <row r="373" spans="1:35" ht="12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5"/>
      <c r="Q373" s="5"/>
      <c r="R373" s="5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</row>
    <row r="374" spans="1:35" ht="12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5"/>
      <c r="Q374" s="5"/>
      <c r="R374" s="5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</row>
    <row r="375" spans="1:35" ht="12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5"/>
      <c r="Q375" s="5"/>
      <c r="R375" s="5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</row>
    <row r="376" spans="1:35" ht="12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5"/>
      <c r="Q376" s="5"/>
      <c r="R376" s="5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</row>
    <row r="377" spans="1:35" ht="12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5"/>
      <c r="Q377" s="5"/>
      <c r="R377" s="5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</row>
    <row r="378" spans="1:35" ht="12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5"/>
      <c r="Q378" s="5"/>
      <c r="R378" s="5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</row>
    <row r="379" spans="1:35" ht="12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5"/>
      <c r="Q379" s="5"/>
      <c r="R379" s="5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</row>
    <row r="380" spans="1:35" ht="12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5"/>
      <c r="Q380" s="5"/>
      <c r="R380" s="5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</row>
    <row r="381" spans="1:35" ht="12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5"/>
      <c r="Q381" s="5"/>
      <c r="R381" s="5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2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5"/>
      <c r="Q382" s="5"/>
      <c r="R382" s="5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2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5"/>
      <c r="Q383" s="5"/>
      <c r="R383" s="5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2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5"/>
      <c r="Q384" s="5"/>
      <c r="R384" s="5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2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5"/>
      <c r="Q385" s="5"/>
      <c r="R385" s="5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2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5"/>
      <c r="Q386" s="5"/>
      <c r="R386" s="5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2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5"/>
      <c r="Q387" s="5"/>
      <c r="R387" s="5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2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"/>
      <c r="Q388" s="5"/>
      <c r="R388" s="5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2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5"/>
      <c r="Q389" s="5"/>
      <c r="R389" s="5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</row>
    <row r="390" spans="1:35" ht="12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5"/>
      <c r="Q390" s="5"/>
      <c r="R390" s="5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</row>
    <row r="391" spans="1:35" ht="12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5"/>
      <c r="Q391" s="5"/>
      <c r="R391" s="5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</row>
    <row r="392" spans="1:35" ht="12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5"/>
      <c r="Q392" s="5"/>
      <c r="R392" s="5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</row>
    <row r="393" spans="1:35" ht="12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5"/>
      <c r="Q393" s="5"/>
      <c r="R393" s="5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</row>
    <row r="394" spans="1:35" ht="12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5"/>
      <c r="Q394" s="5"/>
      <c r="R394" s="5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</row>
    <row r="395" spans="1:35" ht="12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5"/>
      <c r="Q395" s="5"/>
      <c r="R395" s="5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</row>
    <row r="396" spans="1:35" ht="12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5"/>
      <c r="Q396" s="5"/>
      <c r="R396" s="5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</row>
    <row r="397" spans="1:35" ht="12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5"/>
      <c r="Q397" s="5"/>
      <c r="R397" s="5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</row>
    <row r="398" spans="1:35" ht="12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5"/>
      <c r="Q398" s="5"/>
      <c r="R398" s="5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5" ht="12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5"/>
      <c r="Q399" s="5"/>
      <c r="R399" s="5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</row>
    <row r="400" spans="1:35" ht="12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5"/>
      <c r="Q400" s="5"/>
      <c r="R400" s="5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</row>
    <row r="401" spans="1:35" ht="12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5"/>
      <c r="Q401" s="5"/>
      <c r="R401" s="5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</row>
    <row r="402" spans="1:35" ht="12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5"/>
      <c r="Q402" s="5"/>
      <c r="R402" s="5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</row>
    <row r="403" spans="1:35" ht="12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5"/>
      <c r="Q403" s="5"/>
      <c r="R403" s="5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</row>
    <row r="404" spans="1:35" ht="12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5"/>
      <c r="Q404" s="5"/>
      <c r="R404" s="5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</row>
    <row r="405" spans="1:35" ht="12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5"/>
      <c r="Q405" s="5"/>
      <c r="R405" s="5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</row>
    <row r="406" spans="1:35" ht="12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5"/>
      <c r="Q406" s="5"/>
      <c r="R406" s="5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</row>
    <row r="407" spans="1:35" ht="12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5"/>
      <c r="Q407" s="5"/>
      <c r="R407" s="5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spans="1:35" ht="12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5"/>
      <c r="Q408" s="5"/>
      <c r="R408" s="5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</row>
    <row r="409" spans="1:35" ht="12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"/>
      <c r="Q409" s="5"/>
      <c r="R409" s="5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</row>
    <row r="410" spans="1:35" ht="12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5"/>
      <c r="Q410" s="5"/>
      <c r="R410" s="5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</row>
    <row r="411" spans="1:35" ht="12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5"/>
      <c r="Q411" s="5"/>
      <c r="R411" s="5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</row>
    <row r="412" spans="1:35" ht="12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"/>
      <c r="Q412" s="5"/>
      <c r="R412" s="5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</row>
    <row r="413" spans="1:35" ht="12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5"/>
      <c r="Q413" s="5"/>
      <c r="R413" s="5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</row>
    <row r="414" spans="1:35" ht="12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5"/>
      <c r="Q414" s="5"/>
      <c r="R414" s="5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</row>
    <row r="415" spans="1:35" ht="12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"/>
      <c r="Q415" s="5"/>
      <c r="R415" s="5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</row>
    <row r="416" spans="1:35" ht="12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5"/>
      <c r="Q416" s="5"/>
      <c r="R416" s="5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</row>
    <row r="417" spans="1:35" ht="12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5"/>
      <c r="Q417" s="5"/>
      <c r="R417" s="5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</row>
    <row r="418" spans="1:35" ht="12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5"/>
      <c r="Q418" s="5"/>
      <c r="R418" s="5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</row>
    <row r="419" spans="1:35" ht="12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5"/>
      <c r="Q419" s="5"/>
      <c r="R419" s="5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 ht="12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5"/>
      <c r="Q420" s="5"/>
      <c r="R420" s="5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 ht="12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"/>
      <c r="Q421" s="5"/>
      <c r="R421" s="5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 ht="12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5"/>
      <c r="Q422" s="5"/>
      <c r="R422" s="5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 ht="12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5"/>
      <c r="Q423" s="5"/>
      <c r="R423" s="5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 ht="12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"/>
      <c r="Q424" s="5"/>
      <c r="R424" s="5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</row>
    <row r="425" spans="1:35" ht="12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5"/>
      <c r="Q425" s="5"/>
      <c r="R425" s="5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</row>
    <row r="426" spans="1:35" ht="12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5"/>
      <c r="Q426" s="5"/>
      <c r="R426" s="5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</row>
    <row r="427" spans="1:35" ht="12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"/>
      <c r="Q427" s="5"/>
      <c r="R427" s="5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</row>
    <row r="428" spans="1:35" ht="12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5"/>
      <c r="Q428" s="5"/>
      <c r="R428" s="5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</row>
    <row r="429" spans="1:35" ht="12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5"/>
      <c r="Q429" s="5"/>
      <c r="R429" s="5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</row>
    <row r="430" spans="1:35" ht="12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5"/>
      <c r="Q430" s="5"/>
      <c r="R430" s="5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</row>
    <row r="431" spans="1:35" ht="12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5"/>
      <c r="Q431" s="5"/>
      <c r="R431" s="5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</row>
    <row r="432" spans="1:35" ht="12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5"/>
      <c r="Q432" s="5"/>
      <c r="R432" s="5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</row>
    <row r="433" spans="1:35" ht="12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5"/>
      <c r="Q433" s="5"/>
      <c r="R433" s="5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</row>
    <row r="434" spans="1:35" ht="12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5"/>
      <c r="Q434" s="5"/>
      <c r="R434" s="5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</row>
    <row r="435" spans="1:35" ht="12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5"/>
      <c r="Q435" s="5"/>
      <c r="R435" s="5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</row>
    <row r="436" spans="1:35" ht="12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5"/>
      <c r="Q436" s="5"/>
      <c r="R436" s="5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</row>
    <row r="437" spans="1:35" ht="12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5"/>
      <c r="Q437" s="5"/>
      <c r="R437" s="5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</row>
    <row r="438" spans="1:35" ht="12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5"/>
      <c r="Q438" s="5"/>
      <c r="R438" s="5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</row>
    <row r="439" spans="1:35" ht="12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5"/>
      <c r="Q439" s="5"/>
      <c r="R439" s="5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</row>
    <row r="440" spans="1:35" ht="12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5"/>
      <c r="Q440" s="5"/>
      <c r="R440" s="5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</row>
    <row r="441" spans="1:35" ht="12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5"/>
      <c r="Q441" s="5"/>
      <c r="R441" s="5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</row>
    <row r="442" spans="1:35" ht="12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5"/>
      <c r="Q442" s="5"/>
      <c r="R442" s="5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</row>
    <row r="443" spans="1:35" ht="12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"/>
      <c r="Q443" s="5"/>
      <c r="R443" s="5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</row>
    <row r="444" spans="1:35" ht="12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5"/>
      <c r="Q444" s="5"/>
      <c r="R444" s="5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</row>
    <row r="445" spans="1:35" ht="12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5"/>
      <c r="Q445" s="5"/>
      <c r="R445" s="5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</row>
    <row r="446" spans="1:35" ht="12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5"/>
      <c r="Q446" s="5"/>
      <c r="R446" s="5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</row>
    <row r="447" spans="1:35" ht="12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5"/>
      <c r="Q447" s="5"/>
      <c r="R447" s="5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</row>
    <row r="448" spans="1:35" ht="12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5"/>
      <c r="Q448" s="5"/>
      <c r="R448" s="5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</row>
    <row r="449" spans="1:35" ht="12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5"/>
      <c r="Q449" s="5"/>
      <c r="R449" s="5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</row>
    <row r="450" spans="1:35" ht="12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5"/>
      <c r="Q450" s="5"/>
      <c r="R450" s="5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</row>
    <row r="451" spans="1:35" ht="12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5"/>
      <c r="Q451" s="5"/>
      <c r="R451" s="5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</row>
    <row r="452" spans="1:35" ht="12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5"/>
      <c r="Q452" s="5"/>
      <c r="R452" s="5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</row>
    <row r="453" spans="1:35" ht="12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5"/>
      <c r="Q453" s="5"/>
      <c r="R453" s="5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</row>
    <row r="454" spans="1:35" ht="12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5"/>
      <c r="Q454" s="5"/>
      <c r="R454" s="5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</row>
    <row r="455" spans="1:35" ht="12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5"/>
      <c r="Q455" s="5"/>
      <c r="R455" s="5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</row>
    <row r="456" spans="1:35" ht="12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5"/>
      <c r="Q456" s="5"/>
      <c r="R456" s="5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</row>
    <row r="457" spans="1:35" ht="12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5"/>
      <c r="Q457" s="5"/>
      <c r="R457" s="5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</row>
    <row r="458" spans="1:35" ht="12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"/>
      <c r="Q458" s="5"/>
      <c r="R458" s="5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</row>
    <row r="459" spans="1:35" ht="12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5"/>
      <c r="Q459" s="5"/>
      <c r="R459" s="5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</row>
    <row r="460" spans="1:35" ht="12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5"/>
      <c r="Q460" s="5"/>
      <c r="R460" s="5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</row>
    <row r="461" spans="1:35" ht="12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5"/>
      <c r="Q461" s="5"/>
      <c r="R461" s="5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</row>
    <row r="462" spans="1:35" ht="12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5"/>
      <c r="Q462" s="5"/>
      <c r="R462" s="5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</row>
    <row r="463" spans="1:35" ht="12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5"/>
      <c r="Q463" s="5"/>
      <c r="R463" s="5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</row>
    <row r="464" spans="1:35" ht="12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5"/>
      <c r="Q464" s="5"/>
      <c r="R464" s="5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</row>
    <row r="465" spans="1:35" ht="12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5"/>
      <c r="Q465" s="5"/>
      <c r="R465" s="5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</row>
    <row r="466" spans="1:35" ht="12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5"/>
      <c r="Q466" s="5"/>
      <c r="R466" s="5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</row>
    <row r="467" spans="1:35" ht="12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5"/>
      <c r="Q467" s="5"/>
      <c r="R467" s="5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</row>
    <row r="468" spans="1:35" ht="12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5"/>
      <c r="Q468" s="5"/>
      <c r="R468" s="5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</row>
    <row r="469" spans="1:35" ht="12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5"/>
      <c r="Q469" s="5"/>
      <c r="R469" s="5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</row>
    <row r="470" spans="1:35" ht="12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"/>
      <c r="Q470" s="5"/>
      <c r="R470" s="5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</row>
    <row r="471" spans="1:35" ht="12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5"/>
      <c r="Q471" s="5"/>
      <c r="R471" s="5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</row>
    <row r="472" spans="1:35" ht="12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5"/>
      <c r="Q472" s="5"/>
      <c r="R472" s="5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</row>
    <row r="473" spans="1:35" ht="12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"/>
      <c r="Q473" s="5"/>
      <c r="R473" s="5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</row>
    <row r="474" spans="1:35" ht="12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5"/>
      <c r="Q474" s="5"/>
      <c r="R474" s="5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</row>
    <row r="475" spans="1:35" ht="12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5"/>
      <c r="Q475" s="5"/>
      <c r="R475" s="5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</row>
    <row r="476" spans="1:35" ht="12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5"/>
      <c r="Q476" s="5"/>
      <c r="R476" s="5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</row>
    <row r="477" spans="1:35" ht="12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5"/>
      <c r="Q477" s="5"/>
      <c r="R477" s="5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</row>
    <row r="478" spans="1:35" ht="12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5"/>
      <c r="Q478" s="5"/>
      <c r="R478" s="5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</row>
    <row r="479" spans="1:35" ht="12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5"/>
      <c r="Q479" s="5"/>
      <c r="R479" s="5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</row>
    <row r="480" spans="1:35" ht="12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5"/>
      <c r="Q480" s="5"/>
      <c r="R480" s="5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</row>
    <row r="481" spans="1:35" ht="12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5"/>
      <c r="Q481" s="5"/>
      <c r="R481" s="5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</row>
    <row r="482" spans="1:35" ht="12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5"/>
      <c r="Q482" s="5"/>
      <c r="R482" s="5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</row>
    <row r="483" spans="1:35" ht="12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5"/>
      <c r="Q483" s="5"/>
      <c r="R483" s="5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</row>
    <row r="484" spans="1:35" ht="12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5"/>
      <c r="Q484" s="5"/>
      <c r="R484" s="5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</row>
    <row r="485" spans="1:35" ht="12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5"/>
      <c r="Q485" s="5"/>
      <c r="R485" s="5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</row>
    <row r="486" spans="1:35" ht="12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5"/>
      <c r="Q486" s="5"/>
      <c r="R486" s="5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</row>
    <row r="487" spans="1:35" ht="12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5"/>
      <c r="Q487" s="5"/>
      <c r="R487" s="5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</row>
    <row r="488" spans="1:35" ht="12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5"/>
      <c r="Q488" s="5"/>
      <c r="R488" s="5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</row>
    <row r="489" spans="1:35" ht="12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"/>
      <c r="Q489" s="5"/>
      <c r="R489" s="5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</row>
    <row r="490" spans="1:35" ht="12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5"/>
      <c r="Q490" s="5"/>
      <c r="R490" s="5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</row>
    <row r="491" spans="1:35" ht="12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5"/>
      <c r="Q491" s="5"/>
      <c r="R491" s="5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</row>
    <row r="492" spans="1:35" ht="12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"/>
      <c r="Q492" s="5"/>
      <c r="R492" s="5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</row>
    <row r="493" spans="1:35" ht="12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5"/>
      <c r="Q493" s="5"/>
      <c r="R493" s="5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</row>
    <row r="494" spans="1:35" ht="12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5"/>
      <c r="Q494" s="5"/>
      <c r="R494" s="5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</row>
    <row r="495" spans="1:35" ht="12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"/>
      <c r="Q495" s="5"/>
      <c r="R495" s="5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</row>
    <row r="496" spans="1:35" ht="12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5"/>
      <c r="Q496" s="5"/>
      <c r="R496" s="5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</row>
    <row r="497" spans="1:35" ht="12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5"/>
      <c r="Q497" s="5"/>
      <c r="R497" s="5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</row>
    <row r="498" spans="1:35" ht="12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"/>
      <c r="Q498" s="5"/>
      <c r="R498" s="5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</row>
    <row r="499" spans="1:35" ht="12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5"/>
      <c r="Q499" s="5"/>
      <c r="R499" s="5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</row>
    <row r="500" spans="1:35" ht="12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5"/>
      <c r="Q500" s="5"/>
      <c r="R500" s="5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</row>
    <row r="501" spans="1:35" ht="12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"/>
      <c r="Q501" s="5"/>
      <c r="R501" s="5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</row>
    <row r="502" spans="1:35" ht="12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5"/>
      <c r="Q502" s="5"/>
      <c r="R502" s="5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</row>
    <row r="503" spans="1:35" ht="12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5"/>
      <c r="Q503" s="5"/>
      <c r="R503" s="5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</row>
    <row r="504" spans="1:35" ht="12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"/>
      <c r="Q504" s="5"/>
      <c r="R504" s="5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</row>
    <row r="505" spans="1:35" ht="12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5"/>
      <c r="Q505" s="5"/>
      <c r="R505" s="5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</row>
    <row r="506" spans="1:35" ht="12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5"/>
      <c r="Q506" s="5"/>
      <c r="R506" s="5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</row>
    <row r="507" spans="1:35" ht="12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5"/>
      <c r="Q507" s="5"/>
      <c r="R507" s="5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2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5"/>
      <c r="Q508" s="5"/>
      <c r="R508" s="5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2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5"/>
      <c r="Q509" s="5"/>
      <c r="R509" s="5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2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5"/>
      <c r="Q510" s="5"/>
      <c r="R510" s="5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2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5"/>
      <c r="Q511" s="5"/>
      <c r="R511" s="5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2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5"/>
      <c r="Q512" s="5"/>
      <c r="R512" s="5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2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5"/>
      <c r="Q513" s="5"/>
      <c r="R513" s="5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ht="12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"/>
      <c r="Q514" s="5"/>
      <c r="R514" s="5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</row>
    <row r="515" spans="1:35" ht="12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5"/>
      <c r="Q515" s="5"/>
      <c r="R515" s="5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</row>
    <row r="516" spans="1:35" ht="12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5"/>
      <c r="Q516" s="5"/>
      <c r="R516" s="5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</row>
    <row r="517" spans="1:35" ht="12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5"/>
      <c r="Q517" s="5"/>
      <c r="R517" s="5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</row>
    <row r="518" spans="1:35" ht="12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5"/>
      <c r="Q518" s="5"/>
      <c r="R518" s="5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</row>
    <row r="519" spans="1:35" ht="12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5"/>
      <c r="Q519" s="5"/>
      <c r="R519" s="5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</row>
    <row r="520" spans="1:35" ht="12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"/>
      <c r="Q520" s="5"/>
      <c r="R520" s="5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2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5"/>
      <c r="Q521" s="5"/>
      <c r="R521" s="5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2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5"/>
      <c r="Q522" s="5"/>
      <c r="R522" s="5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2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"/>
      <c r="Q523" s="5"/>
      <c r="R523" s="5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2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5"/>
      <c r="Q524" s="5"/>
      <c r="R524" s="5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2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5"/>
      <c r="Q525" s="5"/>
      <c r="R525" s="5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2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5"/>
      <c r="Q526" s="5"/>
      <c r="R526" s="5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2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5"/>
      <c r="Q527" s="5"/>
      <c r="R527" s="5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2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5"/>
      <c r="Q528" s="5"/>
      <c r="R528" s="5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2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5"/>
      <c r="Q529" s="5"/>
      <c r="R529" s="5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2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5"/>
      <c r="Q530" s="5"/>
      <c r="R530" s="5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2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5"/>
      <c r="Q531" s="5"/>
      <c r="R531" s="5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2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"/>
      <c r="Q532" s="5"/>
      <c r="R532" s="5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2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5"/>
      <c r="Q533" s="5"/>
      <c r="R533" s="5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2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5"/>
      <c r="Q534" s="5"/>
      <c r="R534" s="5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2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"/>
      <c r="Q535" s="5"/>
      <c r="R535" s="5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2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5"/>
      <c r="Q536" s="5"/>
      <c r="R536" s="5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2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5"/>
      <c r="Q537" s="5"/>
      <c r="R537" s="5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2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5"/>
      <c r="Q538" s="5"/>
      <c r="R538" s="5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2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5"/>
      <c r="Q539" s="5"/>
      <c r="R539" s="5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2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5"/>
      <c r="Q540" s="5"/>
      <c r="R540" s="5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2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5"/>
      <c r="Q541" s="5"/>
      <c r="R541" s="5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2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5"/>
      <c r="Q542" s="5"/>
      <c r="R542" s="5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2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5"/>
      <c r="Q543" s="5"/>
      <c r="R543" s="5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2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5"/>
      <c r="Q544" s="5"/>
      <c r="R544" s="5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2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5"/>
      <c r="Q545" s="5"/>
      <c r="R545" s="5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2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5"/>
      <c r="Q546" s="5"/>
      <c r="R546" s="5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2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5"/>
      <c r="Q547" s="5"/>
      <c r="R547" s="5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2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5"/>
      <c r="Q548" s="5"/>
      <c r="R548" s="5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2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5"/>
      <c r="Q549" s="5"/>
      <c r="R549" s="5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2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5"/>
      <c r="Q550" s="5"/>
      <c r="R550" s="5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2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5"/>
      <c r="Q551" s="5"/>
      <c r="R551" s="5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2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5"/>
      <c r="Q552" s="5"/>
      <c r="R552" s="5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2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5"/>
      <c r="Q553" s="5"/>
      <c r="R553" s="5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2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5"/>
      <c r="Q554" s="5"/>
      <c r="R554" s="5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2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5"/>
      <c r="Q555" s="5"/>
      <c r="R555" s="5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2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5"/>
      <c r="Q556" s="5"/>
      <c r="R556" s="5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2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5"/>
      <c r="Q557" s="5"/>
      <c r="R557" s="5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2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5"/>
      <c r="Q558" s="5"/>
      <c r="R558" s="5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</row>
    <row r="559" spans="1:35" ht="12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5"/>
      <c r="Q559" s="5"/>
      <c r="R559" s="5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</row>
    <row r="560" spans="1:35" ht="12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"/>
      <c r="Q560" s="5"/>
      <c r="R560" s="5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</row>
    <row r="561" spans="1:35" ht="12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5"/>
      <c r="Q561" s="5"/>
      <c r="R561" s="5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</row>
    <row r="562" spans="1:35" ht="12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5"/>
      <c r="Q562" s="5"/>
      <c r="R562" s="5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</row>
    <row r="563" spans="1:35" ht="12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5"/>
      <c r="Q563" s="5"/>
      <c r="R563" s="5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</row>
    <row r="564" spans="1:35" ht="12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5"/>
      <c r="Q564" s="5"/>
      <c r="R564" s="5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</row>
    <row r="565" spans="1:35" ht="12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5"/>
      <c r="Q565" s="5"/>
      <c r="R565" s="5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</row>
    <row r="566" spans="1:35" ht="12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5"/>
      <c r="Q566" s="5"/>
      <c r="R566" s="5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</row>
    <row r="567" spans="1:35" ht="12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5"/>
      <c r="Q567" s="5"/>
      <c r="R567" s="5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</row>
    <row r="568" spans="1:35" ht="12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5"/>
      <c r="Q568" s="5"/>
      <c r="R568" s="5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</row>
    <row r="569" spans="1:35" ht="12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5"/>
      <c r="Q569" s="5"/>
      <c r="R569" s="5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</row>
    <row r="570" spans="1:35" ht="12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5"/>
      <c r="Q570" s="5"/>
      <c r="R570" s="5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</row>
    <row r="571" spans="1:35" ht="12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5"/>
      <c r="Q571" s="5"/>
      <c r="R571" s="5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</row>
    <row r="572" spans="1:35" ht="12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"/>
      <c r="Q572" s="5"/>
      <c r="R572" s="5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</row>
    <row r="573" spans="1:35" ht="12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5"/>
      <c r="Q573" s="5"/>
      <c r="R573" s="5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</row>
    <row r="574" spans="1:35" ht="12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5"/>
      <c r="Q574" s="5"/>
      <c r="R574" s="5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</row>
    <row r="575" spans="1:35" ht="12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5"/>
      <c r="Q575" s="5"/>
      <c r="R575" s="5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</row>
    <row r="576" spans="1:35" ht="12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5"/>
      <c r="Q576" s="5"/>
      <c r="R576" s="5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</row>
    <row r="577" spans="1:35" ht="12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5"/>
      <c r="Q577" s="5"/>
      <c r="R577" s="5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 ht="12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"/>
      <c r="Q578" s="5"/>
      <c r="R578" s="5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</row>
    <row r="579" spans="1:35" ht="12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5"/>
      <c r="Q579" s="5"/>
      <c r="R579" s="5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</row>
    <row r="580" spans="1:35" ht="12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5"/>
      <c r="Q580" s="5"/>
      <c r="R580" s="5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</row>
    <row r="581" spans="1:35" ht="12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"/>
      <c r="Q581" s="5"/>
      <c r="R581" s="5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</row>
    <row r="582" spans="1:35" ht="12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5"/>
      <c r="Q582" s="5"/>
      <c r="R582" s="5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</row>
    <row r="583" spans="1:35" ht="12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5"/>
      <c r="Q583" s="5"/>
      <c r="R583" s="5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</row>
    <row r="584" spans="1:35" ht="12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"/>
      <c r="Q584" s="5"/>
      <c r="R584" s="5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</row>
    <row r="585" spans="1:35" ht="12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5"/>
      <c r="Q585" s="5"/>
      <c r="R585" s="5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</row>
    <row r="586" spans="1:35" ht="12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5"/>
      <c r="Q586" s="5"/>
      <c r="R586" s="5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</row>
    <row r="587" spans="1:35" ht="12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"/>
      <c r="Q587" s="5"/>
      <c r="R587" s="5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</row>
    <row r="588" spans="1:35" ht="12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5"/>
      <c r="Q588" s="5"/>
      <c r="R588" s="5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</row>
    <row r="589" spans="1:35" ht="12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5"/>
      <c r="Q589" s="5"/>
      <c r="R589" s="5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</row>
    <row r="590" spans="1:35" ht="12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"/>
      <c r="Q590" s="5"/>
      <c r="R590" s="5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</row>
    <row r="591" spans="1:35" ht="12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5"/>
      <c r="Q591" s="5"/>
      <c r="R591" s="5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</row>
    <row r="592" spans="1:35" ht="12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5"/>
      <c r="Q592" s="5"/>
      <c r="R592" s="5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</row>
    <row r="593" spans="1:35" ht="12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5"/>
      <c r="Q593" s="5"/>
      <c r="R593" s="5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</row>
    <row r="594" spans="1:35" ht="12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5"/>
      <c r="Q594" s="5"/>
      <c r="R594" s="5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</row>
    <row r="595" spans="1:35" ht="12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5"/>
      <c r="Q595" s="5"/>
      <c r="R595" s="5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</row>
    <row r="596" spans="1:35" ht="12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5"/>
      <c r="Q596" s="5"/>
      <c r="R596" s="5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</row>
    <row r="597" spans="1:35" ht="12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5"/>
      <c r="Q597" s="5"/>
      <c r="R597" s="5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</row>
    <row r="598" spans="1:35" ht="12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5"/>
      <c r="Q598" s="5"/>
      <c r="R598" s="5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</row>
    <row r="599" spans="1:35" ht="12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5"/>
      <c r="Q599" s="5"/>
      <c r="R599" s="5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</row>
    <row r="600" spans="1:35" ht="12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5"/>
      <c r="Q600" s="5"/>
      <c r="R600" s="5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</row>
    <row r="601" spans="1:35" ht="12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5"/>
      <c r="Q601" s="5"/>
      <c r="R601" s="5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</row>
    <row r="602" spans="1:35" ht="12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"/>
      <c r="Q602" s="5"/>
      <c r="R602" s="5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</row>
    <row r="603" spans="1:35" ht="12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5"/>
      <c r="Q603" s="5"/>
      <c r="R603" s="5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</row>
    <row r="604" spans="1:35" ht="12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5"/>
      <c r="Q604" s="5"/>
      <c r="R604" s="5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</row>
    <row r="605" spans="1:35" ht="12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"/>
      <c r="Q605" s="5"/>
      <c r="R605" s="5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</row>
    <row r="606" spans="1:35" ht="12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5"/>
      <c r="Q606" s="5"/>
      <c r="R606" s="5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</row>
    <row r="607" spans="1:35" ht="12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5"/>
      <c r="Q607" s="5"/>
      <c r="R607" s="5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</row>
    <row r="608" spans="1:35" ht="12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"/>
      <c r="Q608" s="5"/>
      <c r="R608" s="5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</row>
    <row r="609" spans="1:35" ht="12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5"/>
      <c r="Q609" s="5"/>
      <c r="R609" s="5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</row>
    <row r="610" spans="1:35" ht="12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5"/>
      <c r="Q610" s="5"/>
      <c r="R610" s="5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</row>
    <row r="611" spans="1:35" ht="12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5"/>
      <c r="Q611" s="5"/>
      <c r="R611" s="5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</row>
    <row r="612" spans="1:35" ht="12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5"/>
      <c r="Q612" s="5"/>
      <c r="R612" s="5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</row>
    <row r="613" spans="1:35" ht="12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5"/>
      <c r="Q613" s="5"/>
      <c r="R613" s="5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</row>
    <row r="614" spans="1:35" ht="12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5"/>
      <c r="Q614" s="5"/>
      <c r="R614" s="5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</row>
    <row r="615" spans="1:35" ht="12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5"/>
      <c r="Q615" s="5"/>
      <c r="R615" s="5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</row>
    <row r="616" spans="1:35" ht="12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5"/>
      <c r="Q616" s="5"/>
      <c r="R616" s="5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</row>
    <row r="617" spans="1:35" ht="12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5"/>
      <c r="Q617" s="5"/>
      <c r="R617" s="5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</row>
    <row r="618" spans="1:35" ht="12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5"/>
      <c r="Q618" s="5"/>
      <c r="R618" s="5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</row>
    <row r="619" spans="1:35" ht="12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5"/>
      <c r="Q619" s="5"/>
      <c r="R619" s="5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</row>
    <row r="620" spans="1:35" ht="12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5"/>
      <c r="Q620" s="5"/>
      <c r="R620" s="5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</row>
    <row r="621" spans="1:35" ht="12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5"/>
      <c r="Q621" s="5"/>
      <c r="R621" s="5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</row>
    <row r="622" spans="1:35" ht="12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5"/>
      <c r="Q622" s="5"/>
      <c r="R622" s="5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</row>
    <row r="623" spans="1:35" ht="12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5"/>
      <c r="Q623" s="5"/>
      <c r="R623" s="5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</row>
    <row r="624" spans="1:35" ht="12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5"/>
      <c r="Q624" s="5"/>
      <c r="R624" s="5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</row>
    <row r="625" spans="1:35" ht="12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5"/>
      <c r="Q625" s="5"/>
      <c r="R625" s="5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</row>
    <row r="626" spans="1:35" ht="12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5"/>
      <c r="Q626" s="5"/>
      <c r="R626" s="5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</row>
    <row r="627" spans="1:35" ht="12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5"/>
      <c r="Q627" s="5"/>
      <c r="R627" s="5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</row>
    <row r="628" spans="1:35" ht="12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5"/>
      <c r="Q628" s="5"/>
      <c r="R628" s="5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</row>
    <row r="629" spans="1:35" ht="12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5"/>
      <c r="Q629" s="5"/>
      <c r="R629" s="5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</row>
    <row r="630" spans="1:35" ht="12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5"/>
      <c r="Q630" s="5"/>
      <c r="R630" s="5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</row>
    <row r="631" spans="1:35" ht="12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5"/>
      <c r="Q631" s="5"/>
      <c r="R631" s="5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</row>
    <row r="632" spans="1:35" ht="12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5"/>
      <c r="Q632" s="5"/>
      <c r="R632" s="5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</row>
    <row r="633" spans="1:35" ht="12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5"/>
      <c r="Q633" s="5"/>
      <c r="R633" s="5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</row>
    <row r="634" spans="1:35" ht="12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5"/>
      <c r="Q634" s="5"/>
      <c r="R634" s="5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</row>
    <row r="635" spans="1:35" ht="12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5"/>
      <c r="Q635" s="5"/>
      <c r="R635" s="5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</row>
    <row r="636" spans="1:35" ht="12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5"/>
      <c r="Q636" s="5"/>
      <c r="R636" s="5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</row>
    <row r="637" spans="1:35" ht="12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5"/>
      <c r="Q637" s="5"/>
      <c r="R637" s="5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</row>
    <row r="638" spans="1:35" ht="12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5"/>
      <c r="Q638" s="5"/>
      <c r="R638" s="5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</row>
    <row r="639" spans="1:35" ht="12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5"/>
      <c r="Q639" s="5"/>
      <c r="R639" s="5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</row>
    <row r="640" spans="1:35" ht="12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5"/>
      <c r="Q640" s="5"/>
      <c r="R640" s="5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</row>
    <row r="641" spans="1:35" ht="12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5"/>
      <c r="Q641" s="5"/>
      <c r="R641" s="5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</row>
    <row r="642" spans="1:35" ht="12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5"/>
      <c r="Q642" s="5"/>
      <c r="R642" s="5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</row>
    <row r="643" spans="1:35" ht="12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5"/>
      <c r="Q643" s="5"/>
      <c r="R643" s="5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</row>
    <row r="644" spans="1:35" ht="12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5"/>
      <c r="Q644" s="5"/>
      <c r="R644" s="5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</row>
    <row r="645" spans="1:35" ht="12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5"/>
      <c r="Q645" s="5"/>
      <c r="R645" s="5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</row>
    <row r="646" spans="1:35" ht="12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5"/>
      <c r="Q646" s="5"/>
      <c r="R646" s="5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</row>
    <row r="647" spans="1:35" ht="12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5"/>
      <c r="Q647" s="5"/>
      <c r="R647" s="5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</row>
    <row r="648" spans="1:35" ht="12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5"/>
      <c r="Q648" s="5"/>
      <c r="R648" s="5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</row>
    <row r="649" spans="1:35" ht="12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5"/>
      <c r="Q649" s="5"/>
      <c r="R649" s="5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</row>
    <row r="650" spans="1:35" ht="12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5"/>
      <c r="Q650" s="5"/>
      <c r="R650" s="5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</row>
    <row r="651" spans="1:35" ht="12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5"/>
      <c r="Q651" s="5"/>
      <c r="R651" s="5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</row>
    <row r="652" spans="1:35" ht="12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5"/>
      <c r="Q652" s="5"/>
      <c r="R652" s="5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</row>
    <row r="653" spans="1:35" ht="12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5"/>
      <c r="Q653" s="5"/>
      <c r="R653" s="5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</row>
    <row r="654" spans="1:35" ht="12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5"/>
      <c r="Q654" s="5"/>
      <c r="R654" s="5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</row>
    <row r="655" spans="1:35" ht="12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5"/>
      <c r="Q655" s="5"/>
      <c r="R655" s="5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</row>
    <row r="656" spans="1:35" ht="12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5"/>
      <c r="Q656" s="5"/>
      <c r="R656" s="5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</row>
    <row r="657" spans="1:35" ht="12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5"/>
      <c r="Q657" s="5"/>
      <c r="R657" s="5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</row>
    <row r="658" spans="1:35" ht="12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5"/>
      <c r="Q658" s="5"/>
      <c r="R658" s="5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</row>
    <row r="659" spans="1:35" ht="12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5"/>
      <c r="Q659" s="5"/>
      <c r="R659" s="5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</row>
    <row r="660" spans="1:35" ht="12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5"/>
      <c r="Q660" s="5"/>
      <c r="R660" s="5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</row>
    <row r="661" spans="1:35" ht="12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5"/>
      <c r="Q661" s="5"/>
      <c r="R661" s="5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</row>
    <row r="662" spans="1:35" ht="12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5"/>
      <c r="Q662" s="5"/>
      <c r="R662" s="5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</row>
    <row r="663" spans="1:35" ht="12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5"/>
      <c r="Q663" s="5"/>
      <c r="R663" s="5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</row>
    <row r="664" spans="1:35" ht="12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5"/>
      <c r="Q664" s="5"/>
      <c r="R664" s="5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</row>
    <row r="665" spans="1:35" ht="12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5"/>
      <c r="Q665" s="5"/>
      <c r="R665" s="5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</row>
    <row r="666" spans="1:35" ht="12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5"/>
      <c r="Q666" s="5"/>
      <c r="R666" s="5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</row>
    <row r="667" spans="1:35" ht="12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5"/>
      <c r="Q667" s="5"/>
      <c r="R667" s="5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</row>
    <row r="668" spans="1:35" ht="12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5"/>
      <c r="Q668" s="5"/>
      <c r="R668" s="5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</row>
    <row r="669" spans="1:35" ht="12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5"/>
      <c r="Q669" s="5"/>
      <c r="R669" s="5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</row>
    <row r="670" spans="1:35" ht="12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5"/>
      <c r="Q670" s="5"/>
      <c r="R670" s="5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</row>
    <row r="671" spans="1:35" ht="12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5"/>
      <c r="Q671" s="5"/>
      <c r="R671" s="5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</row>
    <row r="672" spans="1:35" ht="12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5"/>
      <c r="Q672" s="5"/>
      <c r="R672" s="5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</row>
    <row r="673" spans="1:35" ht="12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5"/>
      <c r="Q673" s="5"/>
      <c r="R673" s="5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</row>
    <row r="674" spans="1:35" ht="12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5"/>
      <c r="Q674" s="5"/>
      <c r="R674" s="5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</row>
    <row r="675" spans="1:35" ht="12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5"/>
      <c r="Q675" s="5"/>
      <c r="R675" s="5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</row>
    <row r="676" spans="1:35" ht="12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5"/>
      <c r="Q676" s="5"/>
      <c r="R676" s="5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</row>
    <row r="677" spans="1:35" ht="12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5"/>
      <c r="Q677" s="5"/>
      <c r="R677" s="5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</row>
    <row r="678" spans="1:35" ht="12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5"/>
      <c r="Q678" s="5"/>
      <c r="R678" s="5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</row>
    <row r="679" spans="1:35" ht="12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5"/>
      <c r="Q679" s="5"/>
      <c r="R679" s="5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</row>
    <row r="680" spans="1:35" ht="12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5"/>
      <c r="Q680" s="5"/>
      <c r="R680" s="5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</row>
    <row r="681" spans="1:35" ht="12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5"/>
      <c r="Q681" s="5"/>
      <c r="R681" s="5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</row>
    <row r="682" spans="1:35" ht="12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5"/>
      <c r="Q682" s="5"/>
      <c r="R682" s="5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</row>
    <row r="683" spans="1:35" ht="12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5"/>
      <c r="Q683" s="5"/>
      <c r="R683" s="5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</row>
    <row r="684" spans="1:35" ht="12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5"/>
      <c r="Q684" s="5"/>
      <c r="R684" s="5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</row>
    <row r="685" spans="1:35" ht="12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5"/>
      <c r="Q685" s="5"/>
      <c r="R685" s="5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</row>
    <row r="686" spans="1:35" ht="12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5"/>
      <c r="Q686" s="5"/>
      <c r="R686" s="5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</row>
    <row r="687" spans="1:35" ht="12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5"/>
      <c r="Q687" s="5"/>
      <c r="R687" s="5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</row>
    <row r="688" spans="1:35" ht="12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5"/>
      <c r="Q688" s="5"/>
      <c r="R688" s="5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</row>
    <row r="689" spans="1:35" ht="12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5"/>
      <c r="Q689" s="5"/>
      <c r="R689" s="5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</row>
    <row r="690" spans="1:35" ht="12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5"/>
      <c r="Q690" s="5"/>
      <c r="R690" s="5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</row>
    <row r="691" spans="1:35" ht="12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5"/>
      <c r="Q691" s="5"/>
      <c r="R691" s="5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</row>
    <row r="692" spans="1:35" ht="12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5"/>
      <c r="Q692" s="5"/>
      <c r="R692" s="5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</row>
    <row r="693" spans="1:35" ht="12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5"/>
      <c r="Q693" s="5"/>
      <c r="R693" s="5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</row>
    <row r="694" spans="1:35" ht="12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5"/>
      <c r="Q694" s="5"/>
      <c r="R694" s="5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</row>
    <row r="695" spans="1:35" ht="12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5"/>
      <c r="Q695" s="5"/>
      <c r="R695" s="5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</row>
    <row r="696" spans="1:35" ht="12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5"/>
      <c r="Q696" s="5"/>
      <c r="R696" s="5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</row>
    <row r="697" spans="1:35" ht="12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5"/>
      <c r="Q697" s="5"/>
      <c r="R697" s="5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</row>
    <row r="698" spans="1:35" ht="12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5"/>
      <c r="Q698" s="5"/>
      <c r="R698" s="5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</row>
    <row r="699" spans="1:35" ht="12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5"/>
      <c r="Q699" s="5"/>
      <c r="R699" s="5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</row>
    <row r="700" spans="1:35" ht="12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5"/>
      <c r="Q700" s="5"/>
      <c r="R700" s="5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</row>
    <row r="701" spans="1:35" ht="12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5"/>
      <c r="Q701" s="5"/>
      <c r="R701" s="5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</row>
    <row r="702" spans="1:35" ht="12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5"/>
      <c r="Q702" s="5"/>
      <c r="R702" s="5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</row>
    <row r="703" spans="1:35" ht="12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5"/>
      <c r="Q703" s="5"/>
      <c r="R703" s="5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</row>
    <row r="704" spans="1:35" ht="12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5"/>
      <c r="Q704" s="5"/>
      <c r="R704" s="5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</row>
    <row r="705" spans="1:35" ht="12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5"/>
      <c r="Q705" s="5"/>
      <c r="R705" s="5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</row>
    <row r="706" spans="1:35" ht="12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5"/>
      <c r="Q706" s="5"/>
      <c r="R706" s="5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</row>
    <row r="707" spans="1:35" ht="12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5"/>
      <c r="Q707" s="5"/>
      <c r="R707" s="5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</row>
    <row r="708" spans="1:35" ht="12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5"/>
      <c r="Q708" s="5"/>
      <c r="R708" s="5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</row>
    <row r="709" spans="1:35" ht="12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5"/>
      <c r="Q709" s="5"/>
      <c r="R709" s="5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</row>
    <row r="710" spans="1:35" ht="12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5"/>
      <c r="Q710" s="5"/>
      <c r="R710" s="5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</row>
    <row r="711" spans="1:35" ht="12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5"/>
      <c r="Q711" s="5"/>
      <c r="R711" s="5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</row>
    <row r="712" spans="1:35" ht="12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5"/>
      <c r="Q712" s="5"/>
      <c r="R712" s="5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</row>
    <row r="713" spans="1:35" ht="12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5"/>
      <c r="Q713" s="5"/>
      <c r="R713" s="5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</row>
    <row r="714" spans="1:35" ht="12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5"/>
      <c r="Q714" s="5"/>
      <c r="R714" s="5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</row>
    <row r="715" spans="1:35" ht="12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5"/>
      <c r="Q715" s="5"/>
      <c r="R715" s="5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</row>
    <row r="716" spans="1:35" ht="12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5"/>
      <c r="Q716" s="5"/>
      <c r="R716" s="5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</row>
    <row r="717" spans="1:35" ht="12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5"/>
      <c r="Q717" s="5"/>
      <c r="R717" s="5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</row>
    <row r="718" spans="1:35" ht="12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5"/>
      <c r="Q718" s="5"/>
      <c r="R718" s="5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</row>
    <row r="719" spans="1:35" ht="12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5"/>
      <c r="Q719" s="5"/>
      <c r="R719" s="5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</row>
    <row r="720" spans="1:35" ht="12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5"/>
      <c r="Q720" s="5"/>
      <c r="R720" s="5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</row>
    <row r="721" spans="1:35" ht="12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5"/>
      <c r="Q721" s="5"/>
      <c r="R721" s="5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</row>
    <row r="722" spans="1:35" ht="12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5"/>
      <c r="Q722" s="5"/>
      <c r="R722" s="5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</row>
    <row r="723" spans="1:35" ht="12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5"/>
      <c r="Q723" s="5"/>
      <c r="R723" s="5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</row>
    <row r="724" spans="1:35" ht="12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5"/>
      <c r="Q724" s="5"/>
      <c r="R724" s="5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</row>
    <row r="725" spans="1:35" ht="12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5"/>
      <c r="Q725" s="5"/>
      <c r="R725" s="5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</row>
    <row r="726" spans="1:35" ht="12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5"/>
      <c r="Q726" s="5"/>
      <c r="R726" s="5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</row>
    <row r="727" spans="1:35" ht="12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5"/>
      <c r="Q727" s="5"/>
      <c r="R727" s="5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</row>
    <row r="728" spans="1:35" ht="12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5"/>
      <c r="Q728" s="5"/>
      <c r="R728" s="5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</row>
    <row r="729" spans="1:35" ht="12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5"/>
      <c r="Q729" s="5"/>
      <c r="R729" s="5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</row>
    <row r="730" spans="1:35" ht="12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5"/>
      <c r="Q730" s="5"/>
      <c r="R730" s="5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</row>
    <row r="731" spans="1:35" ht="12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5"/>
      <c r="Q731" s="5"/>
      <c r="R731" s="5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</row>
    <row r="732" spans="1:35" ht="12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5"/>
      <c r="Q732" s="5"/>
      <c r="R732" s="5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</row>
    <row r="733" spans="1:35" ht="12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5"/>
      <c r="Q733" s="5"/>
      <c r="R733" s="5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</row>
    <row r="734" spans="1:35" ht="12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5"/>
      <c r="Q734" s="5"/>
      <c r="R734" s="5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</row>
    <row r="735" spans="1:35" ht="12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5"/>
      <c r="Q735" s="5"/>
      <c r="R735" s="5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</row>
    <row r="736" spans="1:35" ht="12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5"/>
      <c r="Q736" s="5"/>
      <c r="R736" s="5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</row>
    <row r="737" spans="1:35" ht="12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5"/>
      <c r="Q737" s="5"/>
      <c r="R737" s="5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</row>
    <row r="738" spans="1:35" ht="12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5"/>
      <c r="Q738" s="5"/>
      <c r="R738" s="5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</row>
    <row r="739" spans="1:35" ht="12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5"/>
      <c r="Q739" s="5"/>
      <c r="R739" s="5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</row>
    <row r="740" spans="1:35" ht="12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5"/>
      <c r="Q740" s="5"/>
      <c r="R740" s="5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</row>
    <row r="741" spans="1:35" ht="12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5"/>
      <c r="Q741" s="5"/>
      <c r="R741" s="5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</row>
    <row r="742" spans="1:35" ht="12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5"/>
      <c r="Q742" s="5"/>
      <c r="R742" s="5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</row>
    <row r="743" spans="1:35" ht="12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5"/>
      <c r="Q743" s="5"/>
      <c r="R743" s="5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</row>
    <row r="744" spans="1:35" ht="12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5"/>
      <c r="Q744" s="5"/>
      <c r="R744" s="5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</row>
    <row r="745" spans="1:35" ht="12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5"/>
      <c r="Q745" s="5"/>
      <c r="R745" s="5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</row>
    <row r="746" spans="1:35" ht="12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5"/>
      <c r="Q746" s="5"/>
      <c r="R746" s="5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</row>
    <row r="747" spans="1:35" ht="12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5"/>
      <c r="Q747" s="5"/>
      <c r="R747" s="5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</row>
    <row r="748" spans="1:35" ht="12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5"/>
      <c r="Q748" s="5"/>
      <c r="R748" s="5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</row>
    <row r="749" spans="1:35" ht="12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5"/>
      <c r="Q749" s="5"/>
      <c r="R749" s="5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</row>
    <row r="750" spans="1:35" ht="12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5"/>
      <c r="Q750" s="5"/>
      <c r="R750" s="5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</row>
    <row r="751" spans="1:35" ht="12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5"/>
      <c r="Q751" s="5"/>
      <c r="R751" s="5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</row>
    <row r="752" spans="1:35" ht="12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5"/>
      <c r="Q752" s="5"/>
      <c r="R752" s="5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</row>
    <row r="753" spans="1:35" ht="12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5"/>
      <c r="Q753" s="5"/>
      <c r="R753" s="5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</row>
    <row r="754" spans="1:35" ht="12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5"/>
      <c r="Q754" s="5"/>
      <c r="R754" s="5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</row>
    <row r="755" spans="1:35" ht="12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5"/>
      <c r="Q755" s="5"/>
      <c r="R755" s="5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</row>
    <row r="756" spans="1:35" ht="12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5"/>
      <c r="Q756" s="5"/>
      <c r="R756" s="5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</row>
    <row r="757" spans="1:35" ht="12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5"/>
      <c r="Q757" s="5"/>
      <c r="R757" s="5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</row>
    <row r="758" spans="1:35" ht="12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5"/>
      <c r="Q758" s="5"/>
      <c r="R758" s="5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</row>
    <row r="759" spans="1:35" ht="12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5"/>
      <c r="Q759" s="5"/>
      <c r="R759" s="5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</row>
    <row r="760" spans="1:35" ht="12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5"/>
      <c r="Q760" s="5"/>
      <c r="R760" s="5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</row>
    <row r="761" spans="1:35" ht="12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5"/>
      <c r="Q761" s="5"/>
      <c r="R761" s="5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</row>
    <row r="762" spans="1:35" ht="12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5"/>
      <c r="Q762" s="5"/>
      <c r="R762" s="5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</row>
    <row r="763" spans="1:35" ht="12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5"/>
      <c r="Q763" s="5"/>
      <c r="R763" s="5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</row>
    <row r="764" spans="1:35" ht="12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5"/>
      <c r="Q764" s="5"/>
      <c r="R764" s="5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</row>
    <row r="765" spans="1:35" ht="12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5"/>
      <c r="Q765" s="5"/>
      <c r="R765" s="5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</row>
    <row r="766" spans="1:35" ht="12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5"/>
      <c r="Q766" s="5"/>
      <c r="R766" s="5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</row>
    <row r="767" spans="1:35" ht="12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5"/>
      <c r="Q767" s="5"/>
      <c r="R767" s="5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</row>
    <row r="768" spans="1:35" ht="12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5"/>
      <c r="Q768" s="5"/>
      <c r="R768" s="5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</row>
    <row r="769" spans="1:35" ht="12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5"/>
      <c r="Q769" s="5"/>
      <c r="R769" s="5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</row>
    <row r="770" spans="1:35" ht="12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5"/>
      <c r="Q770" s="5"/>
      <c r="R770" s="5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</row>
    <row r="771" spans="1:35" ht="12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5"/>
      <c r="Q771" s="5"/>
      <c r="R771" s="5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</row>
    <row r="772" spans="1:35" ht="12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5"/>
      <c r="Q772" s="5"/>
      <c r="R772" s="5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</row>
    <row r="773" spans="1:35" ht="12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5"/>
      <c r="Q773" s="5"/>
      <c r="R773" s="5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</row>
    <row r="774" spans="1:35" ht="12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5"/>
      <c r="Q774" s="5"/>
      <c r="R774" s="5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</row>
    <row r="775" spans="1:35" ht="12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5"/>
      <c r="Q775" s="5"/>
      <c r="R775" s="5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</row>
    <row r="776" spans="1:35" ht="12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5"/>
      <c r="Q776" s="5"/>
      <c r="R776" s="5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</row>
    <row r="777" spans="1:35" ht="12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5"/>
      <c r="Q777" s="5"/>
      <c r="R777" s="5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</row>
    <row r="778" spans="1:35" ht="12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5"/>
      <c r="Q778" s="5"/>
      <c r="R778" s="5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</row>
    <row r="779" spans="1:35" ht="12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5"/>
      <c r="Q779" s="5"/>
      <c r="R779" s="5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</row>
    <row r="780" spans="1:35" ht="12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5"/>
      <c r="Q780" s="5"/>
      <c r="R780" s="5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</row>
    <row r="781" spans="1:35" ht="12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5"/>
      <c r="Q781" s="5"/>
      <c r="R781" s="5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</row>
    <row r="782" spans="1:35" ht="12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5"/>
      <c r="Q782" s="5"/>
      <c r="R782" s="5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</row>
    <row r="783" spans="1:35" ht="12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5"/>
      <c r="Q783" s="5"/>
      <c r="R783" s="5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</row>
    <row r="784" spans="1:35" ht="12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5"/>
      <c r="Q784" s="5"/>
      <c r="R784" s="5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</row>
    <row r="785" spans="1:35" ht="12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5"/>
      <c r="Q785" s="5"/>
      <c r="R785" s="5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</row>
    <row r="786" spans="1:35" ht="12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5"/>
      <c r="Q786" s="5"/>
      <c r="R786" s="5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</row>
    <row r="787" spans="1:35" ht="12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5"/>
      <c r="Q787" s="5"/>
      <c r="R787" s="5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</row>
    <row r="788" spans="1:35" ht="12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5"/>
      <c r="Q788" s="5"/>
      <c r="R788" s="5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</row>
    <row r="789" spans="1:35" ht="12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5"/>
      <c r="Q789" s="5"/>
      <c r="R789" s="5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</row>
    <row r="790" spans="1:35" ht="12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5"/>
      <c r="Q790" s="5"/>
      <c r="R790" s="5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</row>
    <row r="791" spans="1:35" ht="12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5"/>
      <c r="Q791" s="5"/>
      <c r="R791" s="5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</row>
    <row r="792" spans="1:35" ht="12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5"/>
      <c r="Q792" s="5"/>
      <c r="R792" s="5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</row>
    <row r="793" spans="1:35" ht="12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5"/>
      <c r="Q793" s="5"/>
      <c r="R793" s="5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</row>
    <row r="794" spans="1:35" ht="12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5"/>
      <c r="Q794" s="5"/>
      <c r="R794" s="5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</row>
    <row r="795" spans="1:35" ht="12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5"/>
      <c r="Q795" s="5"/>
      <c r="R795" s="5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</row>
    <row r="796" spans="1:35" ht="12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5"/>
      <c r="Q796" s="5"/>
      <c r="R796" s="5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</row>
    <row r="797" spans="1:35" ht="12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5"/>
      <c r="Q797" s="5"/>
      <c r="R797" s="5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</row>
    <row r="798" spans="1:35" ht="12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5"/>
      <c r="Q798" s="5"/>
      <c r="R798" s="5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</row>
    <row r="799" spans="1:35" ht="12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5"/>
      <c r="Q799" s="5"/>
      <c r="R799" s="5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</row>
    <row r="800" spans="1:35" ht="12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5"/>
      <c r="Q800" s="5"/>
      <c r="R800" s="5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</row>
    <row r="801" spans="1:35" ht="12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5"/>
      <c r="Q801" s="5"/>
      <c r="R801" s="5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</row>
    <row r="802" spans="1:35" ht="12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5"/>
      <c r="Q802" s="5"/>
      <c r="R802" s="5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</row>
    <row r="803" spans="1:35" ht="12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5"/>
      <c r="Q803" s="5"/>
      <c r="R803" s="5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</row>
    <row r="804" spans="1:35" ht="12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5"/>
      <c r="Q804" s="5"/>
      <c r="R804" s="5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</row>
    <row r="805" spans="1:35" ht="12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5"/>
      <c r="Q805" s="5"/>
      <c r="R805" s="5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</row>
    <row r="806" spans="1:35" ht="12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5"/>
      <c r="Q806" s="5"/>
      <c r="R806" s="5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</row>
    <row r="807" spans="1:35" ht="12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5"/>
      <c r="Q807" s="5"/>
      <c r="R807" s="5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</row>
    <row r="808" spans="1:35" ht="12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5"/>
      <c r="Q808" s="5"/>
      <c r="R808" s="5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</row>
    <row r="809" spans="1:35" ht="12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5"/>
      <c r="Q809" s="5"/>
      <c r="R809" s="5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</row>
    <row r="810" spans="1:35" ht="12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5"/>
      <c r="Q810" s="5"/>
      <c r="R810" s="5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</row>
    <row r="811" spans="1:35" ht="12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5"/>
      <c r="Q811" s="5"/>
      <c r="R811" s="5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</row>
    <row r="812" spans="1:35" ht="12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5"/>
      <c r="Q812" s="5"/>
      <c r="R812" s="5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</row>
    <row r="813" spans="1:35" ht="12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5"/>
      <c r="Q813" s="5"/>
      <c r="R813" s="5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</row>
    <row r="814" spans="1:35" ht="12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5"/>
      <c r="Q814" s="5"/>
      <c r="R814" s="5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</row>
    <row r="815" spans="1:35" ht="12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5"/>
      <c r="Q815" s="5"/>
      <c r="R815" s="5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</row>
    <row r="816" spans="1:35" ht="12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5"/>
      <c r="Q816" s="5"/>
      <c r="R816" s="5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</row>
    <row r="817" spans="1:35" ht="12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5"/>
      <c r="Q817" s="5"/>
      <c r="R817" s="5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</row>
    <row r="818" spans="1:35" ht="12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5"/>
      <c r="Q818" s="5"/>
      <c r="R818" s="5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</row>
    <row r="819" spans="1:35" ht="12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5"/>
      <c r="Q819" s="5"/>
      <c r="R819" s="5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</row>
    <row r="820" spans="1:35" ht="12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5"/>
      <c r="Q820" s="5"/>
      <c r="R820" s="5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</row>
    <row r="821" spans="1:35" ht="12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5"/>
      <c r="Q821" s="5"/>
      <c r="R821" s="5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</row>
    <row r="822" spans="1:35" ht="12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5"/>
      <c r="Q822" s="5"/>
      <c r="R822" s="5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</row>
    <row r="823" spans="1:35" ht="12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5"/>
      <c r="Q823" s="5"/>
      <c r="R823" s="5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</row>
    <row r="824" spans="1:35" ht="12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5"/>
      <c r="Q824" s="5"/>
      <c r="R824" s="5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</row>
    <row r="825" spans="1:35" ht="12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5"/>
      <c r="Q825" s="5"/>
      <c r="R825" s="5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</row>
    <row r="826" spans="1:35" ht="12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5"/>
      <c r="Q826" s="5"/>
      <c r="R826" s="5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</row>
    <row r="827" spans="1:35" ht="12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5"/>
      <c r="Q827" s="5"/>
      <c r="R827" s="5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</row>
    <row r="828" spans="1:35" ht="12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5"/>
      <c r="Q828" s="5"/>
      <c r="R828" s="5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</row>
    <row r="829" spans="1:35" ht="12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5"/>
      <c r="Q829" s="5"/>
      <c r="R829" s="5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</row>
    <row r="830" spans="1:35" ht="12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5"/>
      <c r="Q830" s="5"/>
      <c r="R830" s="5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</row>
    <row r="831" spans="1:35" ht="12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5"/>
      <c r="Q831" s="5"/>
      <c r="R831" s="5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</row>
    <row r="832" spans="1:35" ht="12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5"/>
      <c r="Q832" s="5"/>
      <c r="R832" s="5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</row>
    <row r="833" spans="1:35" ht="12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5"/>
      <c r="Q833" s="5"/>
      <c r="R833" s="5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</row>
    <row r="834" spans="1:35" ht="12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5"/>
      <c r="Q834" s="5"/>
      <c r="R834" s="5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</row>
    <row r="835" spans="1:35" ht="12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5"/>
      <c r="Q835" s="5"/>
      <c r="R835" s="5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</row>
    <row r="836" spans="1:35" ht="12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5"/>
      <c r="Q836" s="5"/>
      <c r="R836" s="5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</row>
    <row r="837" spans="1:35" ht="12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5"/>
      <c r="Q837" s="5"/>
      <c r="R837" s="5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</row>
    <row r="838" spans="1:35" ht="12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5"/>
      <c r="Q838" s="5"/>
      <c r="R838" s="5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</row>
    <row r="839" spans="1:35" ht="12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5"/>
      <c r="Q839" s="5"/>
      <c r="R839" s="5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</row>
    <row r="840" spans="1:35" ht="12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5"/>
      <c r="Q840" s="5"/>
      <c r="R840" s="5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</row>
    <row r="841" spans="1:35" ht="12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5"/>
      <c r="Q841" s="5"/>
      <c r="R841" s="5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</row>
    <row r="842" spans="1:35" ht="12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5"/>
      <c r="Q842" s="5"/>
      <c r="R842" s="5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</row>
    <row r="843" spans="1:35" ht="12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5"/>
      <c r="Q843" s="5"/>
      <c r="R843" s="5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</row>
    <row r="844" spans="1:35" ht="12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5"/>
      <c r="Q844" s="5"/>
      <c r="R844" s="5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</row>
    <row r="845" spans="1:35" ht="12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5"/>
      <c r="Q845" s="5"/>
      <c r="R845" s="5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</row>
    <row r="846" spans="1:35" ht="12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5"/>
      <c r="Q846" s="5"/>
      <c r="R846" s="5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</row>
    <row r="847" spans="1:35" ht="12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5"/>
      <c r="Q847" s="5"/>
      <c r="R847" s="5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</row>
    <row r="848" spans="1:35" ht="12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5"/>
      <c r="Q848" s="5"/>
      <c r="R848" s="5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</row>
    <row r="849" spans="1:35" ht="12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5"/>
      <c r="Q849" s="5"/>
      <c r="R849" s="5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</row>
    <row r="850" spans="1:35" ht="12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5"/>
      <c r="Q850" s="5"/>
      <c r="R850" s="5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</row>
    <row r="851" spans="1:35" ht="12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5"/>
      <c r="Q851" s="5"/>
      <c r="R851" s="5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</row>
    <row r="852" spans="1:35" ht="12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5"/>
      <c r="Q852" s="5"/>
      <c r="R852" s="5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</row>
    <row r="853" spans="1:35" ht="12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5"/>
      <c r="Q853" s="5"/>
      <c r="R853" s="5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</row>
    <row r="854" spans="1:35" ht="12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5"/>
      <c r="Q854" s="5"/>
      <c r="R854" s="5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</row>
    <row r="855" spans="1:35" ht="12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5"/>
      <c r="Q855" s="5"/>
      <c r="R855" s="5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</row>
    <row r="856" spans="1:35" ht="12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5"/>
      <c r="Q856" s="5"/>
      <c r="R856" s="5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</row>
    <row r="857" spans="1:35" ht="12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5"/>
      <c r="Q857" s="5"/>
      <c r="R857" s="5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</row>
    <row r="858" spans="1:35" ht="12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5"/>
      <c r="Q858" s="5"/>
      <c r="R858" s="5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</row>
    <row r="859" spans="1:35" ht="12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5"/>
      <c r="Q859" s="5"/>
      <c r="R859" s="5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</row>
    <row r="860" spans="1:35" ht="12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5"/>
      <c r="Q860" s="5"/>
      <c r="R860" s="5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</row>
    <row r="861" spans="1:35" ht="12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5"/>
      <c r="Q861" s="5"/>
      <c r="R861" s="5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</row>
    <row r="862" spans="1:35" ht="12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5"/>
      <c r="Q862" s="5"/>
      <c r="R862" s="5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</row>
    <row r="863" spans="1:35" ht="12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5"/>
      <c r="Q863" s="5"/>
      <c r="R863" s="5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</row>
    <row r="864" spans="1:35" ht="12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5"/>
      <c r="Q864" s="5"/>
      <c r="R864" s="5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</row>
    <row r="865" spans="1:35" ht="12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5"/>
      <c r="Q865" s="5"/>
      <c r="R865" s="5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</row>
    <row r="866" spans="1:35" ht="12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5"/>
      <c r="Q866" s="5"/>
      <c r="R866" s="5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</row>
    <row r="867" spans="1:35" ht="12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5"/>
      <c r="Q867" s="5"/>
      <c r="R867" s="5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</row>
    <row r="868" spans="1:35" ht="12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5"/>
      <c r="Q868" s="5"/>
      <c r="R868" s="5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</row>
    <row r="869" spans="1:35" ht="12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5"/>
      <c r="Q869" s="5"/>
      <c r="R869" s="5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</row>
    <row r="870" spans="1:35" ht="12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5"/>
      <c r="Q870" s="5"/>
      <c r="R870" s="5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</row>
    <row r="871" spans="1:35" ht="12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5"/>
      <c r="Q871" s="5"/>
      <c r="R871" s="5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</row>
    <row r="872" spans="1:35" ht="12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5"/>
      <c r="Q872" s="5"/>
      <c r="R872" s="5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</row>
    <row r="873" spans="1:35" ht="12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5"/>
      <c r="Q873" s="5"/>
      <c r="R873" s="5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</row>
    <row r="874" spans="1:35" ht="12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5"/>
      <c r="Q874" s="5"/>
      <c r="R874" s="5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</row>
    <row r="875" spans="1:35" ht="12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5"/>
      <c r="Q875" s="5"/>
      <c r="R875" s="5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</row>
    <row r="876" spans="1:35" ht="12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5"/>
      <c r="Q876" s="5"/>
      <c r="R876" s="5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</row>
    <row r="877" spans="1:35" ht="12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5"/>
      <c r="Q877" s="5"/>
      <c r="R877" s="5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</row>
    <row r="878" spans="1:35" ht="12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5"/>
      <c r="Q878" s="5"/>
      <c r="R878" s="5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</row>
    <row r="879" spans="1:35" ht="12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5"/>
      <c r="Q879" s="5"/>
      <c r="R879" s="5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</row>
    <row r="880" spans="1:35" ht="12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5"/>
      <c r="Q880" s="5"/>
      <c r="R880" s="5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</row>
    <row r="881" spans="1:35" ht="12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5"/>
      <c r="Q881" s="5"/>
      <c r="R881" s="5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</row>
    <row r="882" spans="1:35" ht="12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5"/>
      <c r="Q882" s="5"/>
      <c r="R882" s="5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</row>
    <row r="883" spans="1:35" ht="12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5"/>
      <c r="Q883" s="5"/>
      <c r="R883" s="5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</row>
    <row r="884" spans="1:35" ht="12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5"/>
      <c r="Q884" s="5"/>
      <c r="R884" s="5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</row>
    <row r="885" spans="1:35" ht="12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5"/>
      <c r="Q885" s="5"/>
      <c r="R885" s="5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</row>
    <row r="886" spans="1:35" ht="12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5"/>
      <c r="Q886" s="5"/>
      <c r="R886" s="5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</row>
    <row r="887" spans="1:35" ht="12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5"/>
      <c r="Q887" s="5"/>
      <c r="R887" s="5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</row>
    <row r="888" spans="1:35" ht="12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5"/>
      <c r="Q888" s="5"/>
      <c r="R888" s="5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</row>
    <row r="889" spans="1:35" ht="12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5"/>
      <c r="Q889" s="5"/>
      <c r="R889" s="5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</row>
    <row r="890" spans="1:35" ht="12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5"/>
      <c r="Q890" s="5"/>
      <c r="R890" s="5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</row>
    <row r="891" spans="1:35" ht="12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5"/>
      <c r="Q891" s="5"/>
      <c r="R891" s="5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</row>
    <row r="892" spans="1:35" ht="12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5"/>
      <c r="Q892" s="5"/>
      <c r="R892" s="5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</row>
    <row r="893" spans="1:35" ht="12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5"/>
      <c r="Q893" s="5"/>
      <c r="R893" s="5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</row>
    <row r="894" spans="1:35" ht="12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"/>
      <c r="Q894" s="5"/>
      <c r="R894" s="5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</row>
    <row r="895" spans="1:35" ht="12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5"/>
      <c r="Q895" s="5"/>
      <c r="R895" s="5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</row>
    <row r="896" spans="1:35" ht="12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5"/>
      <c r="Q896" s="5"/>
      <c r="R896" s="5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</row>
    <row r="897" spans="1:35" ht="12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5"/>
      <c r="Q897" s="5"/>
      <c r="R897" s="5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</row>
    <row r="898" spans="1:35" ht="12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5"/>
      <c r="Q898" s="5"/>
      <c r="R898" s="5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</row>
    <row r="899" spans="1:35" ht="12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5"/>
      <c r="Q899" s="5"/>
      <c r="R899" s="5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</row>
    <row r="900" spans="1:35" ht="12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5"/>
      <c r="Q900" s="5"/>
      <c r="R900" s="5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</row>
    <row r="901" spans="1:35" ht="12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5"/>
      <c r="Q901" s="5"/>
      <c r="R901" s="5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</row>
    <row r="902" spans="1:35" ht="12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5"/>
      <c r="Q902" s="5"/>
      <c r="R902" s="5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</row>
    <row r="903" spans="1:35" ht="12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5"/>
      <c r="Q903" s="5"/>
      <c r="R903" s="5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</row>
    <row r="904" spans="1:35" ht="12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5"/>
      <c r="Q904" s="5"/>
      <c r="R904" s="5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</row>
    <row r="905" spans="1:35" ht="12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5"/>
      <c r="Q905" s="5"/>
      <c r="R905" s="5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</row>
    <row r="906" spans="1:35" ht="12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5"/>
      <c r="Q906" s="5"/>
      <c r="R906" s="5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</row>
    <row r="907" spans="1:35" ht="12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5"/>
      <c r="Q907" s="5"/>
      <c r="R907" s="5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</row>
    <row r="908" spans="1:35" ht="12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5"/>
      <c r="Q908" s="5"/>
      <c r="R908" s="5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</row>
    <row r="909" spans="1:35" ht="12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5"/>
      <c r="Q909" s="5"/>
      <c r="R909" s="5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</row>
    <row r="910" spans="1:35" ht="12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5"/>
      <c r="Q910" s="5"/>
      <c r="R910" s="5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</row>
    <row r="911" spans="1:35" ht="12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5"/>
      <c r="Q911" s="5"/>
      <c r="R911" s="5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</row>
    <row r="912" spans="1:35" ht="12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5"/>
      <c r="Q912" s="5"/>
      <c r="R912" s="5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</row>
    <row r="913" spans="1:35" ht="12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5"/>
      <c r="Q913" s="5"/>
      <c r="R913" s="5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</row>
    <row r="914" spans="1:35" ht="12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5"/>
      <c r="Q914" s="5"/>
      <c r="R914" s="5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</row>
    <row r="915" spans="1:35" ht="12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5"/>
      <c r="Q915" s="5"/>
      <c r="R915" s="5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</row>
    <row r="916" spans="1:35" ht="12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5"/>
      <c r="Q916" s="5"/>
      <c r="R916" s="5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</row>
    <row r="917" spans="1:35" ht="12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5"/>
      <c r="Q917" s="5"/>
      <c r="R917" s="5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</row>
    <row r="918" spans="1:35" ht="12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5"/>
      <c r="Q918" s="5"/>
      <c r="R918" s="5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</row>
    <row r="919" spans="1:35" ht="12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5"/>
      <c r="Q919" s="5"/>
      <c r="R919" s="5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</row>
    <row r="920" spans="1:35" ht="12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5"/>
      <c r="Q920" s="5"/>
      <c r="R920" s="5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</row>
    <row r="921" spans="1:35" ht="12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5"/>
      <c r="Q921" s="5"/>
      <c r="R921" s="5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</row>
    <row r="922" spans="1:35" ht="12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5"/>
      <c r="Q922" s="5"/>
      <c r="R922" s="5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</row>
    <row r="923" spans="1:35" ht="12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5"/>
      <c r="Q923" s="5"/>
      <c r="R923" s="5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</row>
    <row r="924" spans="1:35" ht="12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5"/>
      <c r="Q924" s="5"/>
      <c r="R924" s="5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</row>
    <row r="925" spans="1:35" ht="12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5"/>
      <c r="Q925" s="5"/>
      <c r="R925" s="5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</row>
    <row r="926" spans="1:35" ht="12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5"/>
      <c r="Q926" s="5"/>
      <c r="R926" s="5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</row>
    <row r="927" spans="1:35" ht="12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5"/>
      <c r="Q927" s="5"/>
      <c r="R927" s="5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</row>
    <row r="928" spans="1:35" ht="12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5"/>
      <c r="Q928" s="5"/>
      <c r="R928" s="5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</row>
    <row r="929" spans="1:35" ht="12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5"/>
      <c r="Q929" s="5"/>
      <c r="R929" s="5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</row>
    <row r="930" spans="1:35" ht="12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5"/>
      <c r="Q930" s="5"/>
      <c r="R930" s="5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</row>
    <row r="931" spans="1:35" ht="12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5"/>
      <c r="Q931" s="5"/>
      <c r="R931" s="5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</row>
    <row r="932" spans="1:35" ht="12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5"/>
      <c r="Q932" s="5"/>
      <c r="R932" s="5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</row>
    <row r="933" spans="1:35" ht="12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5"/>
      <c r="Q933" s="5"/>
      <c r="R933" s="5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</row>
    <row r="934" spans="1:35" ht="12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5"/>
      <c r="Q934" s="5"/>
      <c r="R934" s="5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</row>
    <row r="935" spans="1:35" ht="12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5"/>
      <c r="Q935" s="5"/>
      <c r="R935" s="5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</row>
    <row r="936" spans="1:35" ht="12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5"/>
      <c r="Q936" s="5"/>
      <c r="R936" s="5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</row>
    <row r="937" spans="1:35" ht="12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5"/>
      <c r="Q937" s="5"/>
      <c r="R937" s="5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</row>
    <row r="938" spans="1:35" ht="12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5"/>
      <c r="Q938" s="5"/>
      <c r="R938" s="5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</row>
    <row r="939" spans="1:35" ht="12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5"/>
      <c r="Q939" s="5"/>
      <c r="R939" s="5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</row>
    <row r="940" spans="1:35" ht="12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5"/>
      <c r="Q940" s="5"/>
      <c r="R940" s="5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</row>
    <row r="941" spans="1:35" ht="12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5"/>
      <c r="Q941" s="5"/>
      <c r="R941" s="5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</row>
    <row r="942" spans="1:35" ht="12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5"/>
      <c r="Q942" s="5"/>
      <c r="R942" s="5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</row>
    <row r="943" spans="1:35" ht="12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5"/>
      <c r="Q943" s="5"/>
      <c r="R943" s="5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</row>
    <row r="944" spans="1:35" ht="12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5"/>
      <c r="Q944" s="5"/>
      <c r="R944" s="5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</row>
    <row r="945" spans="1:35" ht="12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5"/>
      <c r="Q945" s="5"/>
      <c r="R945" s="5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</row>
    <row r="946" spans="1:35" ht="12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5"/>
      <c r="Q946" s="5"/>
      <c r="R946" s="5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</row>
    <row r="947" spans="1:35" ht="12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5"/>
      <c r="Q947" s="5"/>
      <c r="R947" s="5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</row>
    <row r="948" spans="1:35" ht="12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5"/>
      <c r="Q948" s="5"/>
      <c r="R948" s="5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</row>
    <row r="949" spans="1:35" ht="12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5"/>
      <c r="Q949" s="5"/>
      <c r="R949" s="5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</row>
    <row r="950" spans="1:35" ht="12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5"/>
      <c r="Q950" s="5"/>
      <c r="R950" s="5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</row>
    <row r="951" spans="1:35" ht="12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5"/>
      <c r="Q951" s="5"/>
      <c r="R951" s="5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</row>
    <row r="952" spans="1:35" ht="12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5"/>
      <c r="Q952" s="5"/>
      <c r="R952" s="5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</row>
    <row r="953" spans="1:35" ht="12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5"/>
      <c r="Q953" s="5"/>
      <c r="R953" s="5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</row>
    <row r="954" spans="1:35" ht="12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5"/>
      <c r="Q954" s="5"/>
      <c r="R954" s="5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</row>
    <row r="955" spans="1:35" ht="12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5"/>
      <c r="Q955" s="5"/>
      <c r="R955" s="5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</row>
    <row r="956" spans="1:35" ht="12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5"/>
      <c r="Q956" s="5"/>
      <c r="R956" s="5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</row>
    <row r="957" spans="1:35" ht="12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5"/>
      <c r="Q957" s="5"/>
      <c r="R957" s="5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</row>
    <row r="958" spans="1:35" ht="12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5"/>
      <c r="Q958" s="5"/>
      <c r="R958" s="5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</row>
    <row r="959" spans="1:35" ht="12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5"/>
      <c r="Q959" s="5"/>
      <c r="R959" s="5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</row>
    <row r="960" spans="1:35" ht="12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5"/>
      <c r="Q960" s="5"/>
      <c r="R960" s="5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</row>
    <row r="961" spans="1:35" ht="12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5"/>
      <c r="Q961" s="5"/>
      <c r="R961" s="5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</row>
    <row r="962" spans="1:35" ht="12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5"/>
      <c r="Q962" s="5"/>
      <c r="R962" s="5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</row>
    <row r="963" spans="1:35" ht="12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5"/>
      <c r="Q963" s="5"/>
      <c r="R963" s="5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</row>
    <row r="964" spans="1:35" ht="12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5"/>
      <c r="Q964" s="5"/>
      <c r="R964" s="5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</row>
    <row r="965" spans="1:35" ht="12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5"/>
      <c r="Q965" s="5"/>
      <c r="R965" s="5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</row>
    <row r="966" spans="1:35" ht="12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5"/>
      <c r="Q966" s="5"/>
      <c r="R966" s="5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</row>
    <row r="967" spans="1:35" ht="12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5"/>
      <c r="Q967" s="5"/>
      <c r="R967" s="5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</row>
    <row r="968" spans="1:35" ht="12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5"/>
      <c r="Q968" s="5"/>
      <c r="R968" s="5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</row>
    <row r="969" spans="1:35" ht="12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5"/>
      <c r="Q969" s="5"/>
      <c r="R969" s="5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</row>
    <row r="970" spans="1:35" ht="12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5"/>
      <c r="Q970" s="5"/>
      <c r="R970" s="5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</row>
    <row r="971" spans="1:35" ht="12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5"/>
      <c r="Q971" s="5"/>
      <c r="R971" s="5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</row>
    <row r="972" spans="1:35" ht="12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5"/>
      <c r="Q972" s="5"/>
      <c r="R972" s="5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</row>
    <row r="973" spans="1:35" ht="12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5"/>
      <c r="Q973" s="5"/>
      <c r="R973" s="5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</row>
    <row r="974" spans="1:35" ht="12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5"/>
      <c r="Q974" s="5"/>
      <c r="R974" s="5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</row>
    <row r="975" spans="1:35" ht="12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5"/>
      <c r="Q975" s="5"/>
      <c r="R975" s="5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</row>
    <row r="976" spans="1:35" ht="12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5"/>
      <c r="Q976" s="5"/>
      <c r="R976" s="5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</row>
    <row r="977" spans="1:35" ht="12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5"/>
      <c r="Q977" s="5"/>
      <c r="R977" s="5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</row>
    <row r="978" spans="1:35" ht="12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5"/>
      <c r="Q978" s="5"/>
      <c r="R978" s="5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</row>
    <row r="979" spans="1:35" ht="12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5"/>
      <c r="Q979" s="5"/>
      <c r="R979" s="5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</row>
    <row r="980" spans="1:35" ht="12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5"/>
      <c r="Q980" s="5"/>
      <c r="R980" s="5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</row>
    <row r="981" spans="1:35" ht="12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5"/>
      <c r="Q981" s="5"/>
      <c r="R981" s="5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</row>
    <row r="982" spans="1:35" ht="12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5"/>
      <c r="Q982" s="5"/>
      <c r="R982" s="5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</row>
    <row r="983" spans="1:35" ht="12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5"/>
      <c r="Q983" s="5"/>
      <c r="R983" s="5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</row>
    <row r="984" spans="1:35" ht="12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5"/>
      <c r="Q984" s="5"/>
      <c r="R984" s="5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</row>
    <row r="985" spans="1:35" ht="12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5"/>
      <c r="Q985" s="5"/>
      <c r="R985" s="5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</row>
    <row r="986" spans="1:35" ht="12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5"/>
      <c r="Q986" s="5"/>
      <c r="R986" s="5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</row>
    <row r="987" spans="1:35" ht="12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5"/>
      <c r="Q987" s="5"/>
      <c r="R987" s="5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</row>
    <row r="988" spans="1:35" ht="12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5"/>
      <c r="Q988" s="5"/>
      <c r="R988" s="5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</row>
    <row r="989" spans="1:35" ht="12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5"/>
      <c r="Q989" s="5"/>
      <c r="R989" s="5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</row>
    <row r="990" spans="1:35" ht="12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5"/>
      <c r="Q990" s="5"/>
      <c r="R990" s="5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</row>
    <row r="991" spans="1:35" ht="12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5"/>
      <c r="Q991" s="5"/>
      <c r="R991" s="5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</row>
    <row r="992" spans="1:35" ht="12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5"/>
      <c r="Q992" s="5"/>
      <c r="R992" s="5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</row>
    <row r="993" spans="1:35" ht="12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5"/>
      <c r="Q993" s="5"/>
      <c r="R993" s="5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</row>
    <row r="994" spans="1:35" ht="12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5"/>
      <c r="Q994" s="5"/>
      <c r="R994" s="5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</row>
    <row r="995" spans="1:35" ht="12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5"/>
      <c r="Q995" s="5"/>
      <c r="R995" s="5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</row>
    <row r="996" spans="1:35" ht="12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5"/>
      <c r="Q996" s="5"/>
      <c r="R996" s="5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</row>
    <row r="997" spans="1:35" ht="12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5"/>
      <c r="Q997" s="5"/>
      <c r="R997" s="5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</row>
    <row r="998" spans="1:35" ht="12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5"/>
      <c r="Q998" s="5"/>
      <c r="R998" s="5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</row>
    <row r="999" spans="1:35" ht="12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5"/>
      <c r="Q999" s="5"/>
      <c r="R999" s="5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</row>
    <row r="1000" spans="1:35" ht="12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5"/>
      <c r="Q1000" s="5"/>
      <c r="R1000" s="5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</row>
  </sheetData>
  <mergeCells count="34">
    <mergeCell ref="K96:O96"/>
    <mergeCell ref="D47:H47"/>
    <mergeCell ref="K86:O86"/>
    <mergeCell ref="B116:F116"/>
    <mergeCell ref="B108:F108"/>
    <mergeCell ref="B98:B102"/>
    <mergeCell ref="I98:I102"/>
    <mergeCell ref="J95:O95"/>
    <mergeCell ref="D96:H96"/>
    <mergeCell ref="B49:B53"/>
    <mergeCell ref="J85:O85"/>
    <mergeCell ref="C95:H95"/>
    <mergeCell ref="C46:H46"/>
    <mergeCell ref="B35:E35"/>
    <mergeCell ref="I88:I92"/>
    <mergeCell ref="K76:O76"/>
    <mergeCell ref="D86:H86"/>
    <mergeCell ref="J75:O75"/>
    <mergeCell ref="K47:O47"/>
    <mergeCell ref="D76:H76"/>
    <mergeCell ref="B88:B92"/>
    <mergeCell ref="C85:H85"/>
    <mergeCell ref="B78:B82"/>
    <mergeCell ref="J5:N5"/>
    <mergeCell ref="S34:S38"/>
    <mergeCell ref="C75:H75"/>
    <mergeCell ref="L32:O32"/>
    <mergeCell ref="I78:I82"/>
    <mergeCell ref="J46:O46"/>
    <mergeCell ref="I49:I53"/>
    <mergeCell ref="E5:G5"/>
    <mergeCell ref="L39:O39"/>
    <mergeCell ref="G32:J32"/>
    <mergeCell ref="B32:E3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2" width="30.7109375" style="261" customWidth="1"/>
    <col min="3" max="5" width="12.7109375" style="261" customWidth="1"/>
    <col min="6" max="6" width="0.85546875" style="261" customWidth="1"/>
    <col min="7" max="7" width="10.7109375" style="261" customWidth="1"/>
    <col min="8" max="8" width="0.85546875" style="261" customWidth="1"/>
    <col min="9" max="13" width="12.7109375" style="261" customWidth="1"/>
    <col min="14" max="14" width="0.85546875" style="261" customWidth="1"/>
    <col min="15" max="17" width="9.140625" style="261" customWidth="1"/>
    <col min="18" max="18" width="4.140625" style="261" customWidth="1"/>
    <col min="19" max="26" width="8" style="261" customWidth="1"/>
  </cols>
  <sheetData>
    <row r="1" spans="1:26" ht="20.25" customHeight="1" x14ac:dyDescent="0.3">
      <c r="A1" s="174" t="str">
        <f>+DCF!A1</f>
        <v>ValueCo Corporation</v>
      </c>
      <c r="B1" s="7"/>
      <c r="C1" s="7"/>
      <c r="D1" s="7"/>
      <c r="E1" s="7"/>
      <c r="F1" s="7"/>
      <c r="G1" s="7"/>
      <c r="H1" s="136"/>
      <c r="I1" s="175"/>
      <c r="J1" s="175"/>
      <c r="K1" s="175"/>
      <c r="L1" s="175"/>
      <c r="M1" s="136"/>
      <c r="N1" s="176"/>
      <c r="O1" s="176"/>
      <c r="P1" s="176"/>
      <c r="Q1" s="176"/>
      <c r="R1" s="5"/>
      <c r="S1" s="5"/>
      <c r="T1" s="5"/>
      <c r="U1" s="5"/>
      <c r="V1" s="5"/>
      <c r="W1" s="5"/>
      <c r="X1" s="5"/>
      <c r="Y1" s="5"/>
      <c r="Z1" s="5"/>
    </row>
    <row r="2" spans="1:26" ht="18" customHeight="1" x14ac:dyDescent="0.25">
      <c r="A2" s="7" t="s">
        <v>111</v>
      </c>
      <c r="B2" s="177" t="s">
        <v>112</v>
      </c>
      <c r="C2" s="177"/>
      <c r="D2" s="177"/>
      <c r="E2" s="177"/>
      <c r="F2" s="177"/>
      <c r="G2" s="177"/>
      <c r="H2" s="175"/>
      <c r="I2" s="175"/>
      <c r="J2" s="175"/>
      <c r="K2" s="175"/>
      <c r="L2" s="175"/>
      <c r="M2" s="136"/>
      <c r="N2" s="176"/>
      <c r="O2" s="176"/>
      <c r="P2" s="176"/>
      <c r="Q2" s="176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8" t="s">
        <v>85</v>
      </c>
      <c r="B3" s="8"/>
      <c r="C3" s="8"/>
      <c r="D3" s="8"/>
      <c r="E3" s="8"/>
      <c r="F3" s="8"/>
      <c r="G3" s="8"/>
      <c r="H3" s="136"/>
      <c r="I3" s="175"/>
      <c r="J3" s="175"/>
      <c r="K3" s="175"/>
      <c r="L3" s="175"/>
      <c r="M3" s="136"/>
      <c r="N3" s="176"/>
      <c r="O3" s="176"/>
      <c r="P3" s="176"/>
      <c r="Q3" s="176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/>
      <c r="B4" s="5"/>
      <c r="C4" s="5"/>
      <c r="D4" s="5"/>
      <c r="E4" s="5"/>
      <c r="F4" s="5"/>
      <c r="G4" s="5"/>
      <c r="H4" s="49"/>
      <c r="I4" s="49"/>
      <c r="J4" s="49"/>
      <c r="K4" s="49"/>
      <c r="L4" s="49"/>
      <c r="M4" s="12"/>
      <c r="N4" s="12"/>
      <c r="O4" s="12"/>
      <c r="P4" s="12"/>
      <c r="Q4" s="12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">
      <c r="A5" s="5"/>
      <c r="B5" s="5"/>
      <c r="C5" s="302" t="s">
        <v>22</v>
      </c>
      <c r="D5" s="303"/>
      <c r="E5" s="303"/>
      <c r="F5" s="5"/>
      <c r="G5" s="5"/>
      <c r="H5" s="178"/>
      <c r="I5" s="302" t="s">
        <v>24</v>
      </c>
      <c r="J5" s="303"/>
      <c r="K5" s="303"/>
      <c r="L5" s="303"/>
      <c r="M5" s="30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">
      <c r="A6" s="14"/>
      <c r="B6" s="14"/>
      <c r="C6" s="263" t="str">
        <f>+DCF!E6</f>
        <v>2023</v>
      </c>
      <c r="D6" s="263" t="str">
        <f>+DCF!F6</f>
        <v>2024</v>
      </c>
      <c r="E6" s="263" t="str">
        <f>+DCF!G6</f>
        <v>2025</v>
      </c>
      <c r="F6" s="5"/>
      <c r="G6" s="179" t="str">
        <f>+DCF!I6</f>
        <v>2025</v>
      </c>
      <c r="H6" s="180"/>
      <c r="I6" s="181" t="str">
        <f>+DCF!J6</f>
        <v>2026</v>
      </c>
      <c r="J6" s="263" t="str">
        <f>+DCF!K6</f>
        <v>2027</v>
      </c>
      <c r="K6" s="263" t="str">
        <f>+DCF!L6</f>
        <v>2028</v>
      </c>
      <c r="L6" s="263" t="str">
        <f>+DCF!M6</f>
        <v>2029</v>
      </c>
      <c r="M6" s="263" t="str">
        <f>+DCF!N6</f>
        <v>2030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.75" customHeight="1" x14ac:dyDescent="0.2">
      <c r="A7" s="5"/>
      <c r="B7" s="14"/>
      <c r="C7" s="15"/>
      <c r="D7" s="15"/>
      <c r="E7" s="15"/>
      <c r="F7" s="5"/>
      <c r="G7" s="15"/>
      <c r="H7" s="14"/>
      <c r="I7" s="182"/>
      <c r="J7" s="15"/>
      <c r="K7" s="15"/>
      <c r="L7" s="15"/>
      <c r="M7" s="1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"/>
      <c r="B8" s="5" t="s">
        <v>35</v>
      </c>
      <c r="C8" s="73">
        <f>+DCF!E7</f>
        <v>52617900.827</v>
      </c>
      <c r="D8" s="73">
        <f>+DCF!F7</f>
        <v>62848794.351000004</v>
      </c>
      <c r="E8" s="73">
        <f>+DCF!G7</f>
        <v>70112825.100999996</v>
      </c>
      <c r="F8" s="73"/>
      <c r="G8" s="73">
        <f>+DCF!I7</f>
        <v>70112825.100999996</v>
      </c>
      <c r="H8" s="73"/>
      <c r="I8" s="183">
        <f>+DCF!J7</f>
        <v>78526364.113120005</v>
      </c>
      <c r="J8" s="73">
        <f>+DCF!K7</f>
        <v>87164264.165563211</v>
      </c>
      <c r="K8" s="73">
        <f>+DCF!L7</f>
        <v>95880690.582119539</v>
      </c>
      <c r="L8" s="73">
        <f>+DCF!M7</f>
        <v>104509952.7345103</v>
      </c>
      <c r="M8" s="73">
        <f>+DCF!N7</f>
        <v>112870748.95327114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5"/>
      <c r="B9" s="5" t="s">
        <v>113</v>
      </c>
      <c r="C9" s="184">
        <f>+DCF!E9</f>
        <v>32298347.383000001</v>
      </c>
      <c r="D9" s="184">
        <f>+DCF!F9</f>
        <v>39150445.980999999</v>
      </c>
      <c r="E9" s="184">
        <f>+DCF!G9</f>
        <v>44224295.588</v>
      </c>
      <c r="F9" s="184"/>
      <c r="G9" s="184">
        <f>+DCF!I9</f>
        <v>44224295.588</v>
      </c>
      <c r="H9" s="184"/>
      <c r="I9" s="185">
        <f>+DCF!J9</f>
        <v>49471609.391265601</v>
      </c>
      <c r="J9" s="184">
        <f>+DCF!K9</f>
        <v>54739157.895973697</v>
      </c>
      <c r="K9" s="184">
        <f>+DCF!L9</f>
        <v>60021312.304406829</v>
      </c>
      <c r="L9" s="184">
        <f>+DCF!M9</f>
        <v>65214210.506334431</v>
      </c>
      <c r="M9" s="184">
        <f>+DCF!N9</f>
        <v>70205605.84893465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5"/>
      <c r="B10" s="5"/>
      <c r="C10" s="94"/>
      <c r="D10" s="94"/>
      <c r="E10" s="94"/>
      <c r="F10" s="5"/>
      <c r="G10" s="94"/>
      <c r="H10" s="92"/>
      <c r="I10" s="186"/>
      <c r="J10" s="92"/>
      <c r="K10" s="92"/>
      <c r="L10" s="92"/>
      <c r="M10" s="9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">
      <c r="A11" s="5"/>
      <c r="B11" s="187" t="s">
        <v>114</v>
      </c>
      <c r="C11" s="94"/>
      <c r="D11" s="94"/>
      <c r="E11" s="94"/>
      <c r="F11" s="5"/>
      <c r="G11" s="45"/>
      <c r="H11" s="92"/>
      <c r="I11" s="186"/>
      <c r="J11" s="92"/>
      <c r="K11" s="92"/>
      <c r="L11" s="92"/>
      <c r="M11" s="92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5"/>
      <c r="B12" s="53" t="s">
        <v>115</v>
      </c>
      <c r="C12" s="248">
        <v>9674343.2369999997</v>
      </c>
      <c r="D12" s="248">
        <v>11381523.993000001</v>
      </c>
      <c r="E12" s="248">
        <v>14402017.449999999</v>
      </c>
      <c r="F12" s="188"/>
      <c r="G12" s="184">
        <f>+G8/365*G29</f>
        <v>14402017.449999997</v>
      </c>
      <c r="H12" s="184"/>
      <c r="I12" s="185">
        <f t="shared" ref="I12:M13" si="0">+I8/365*I29</f>
        <v>16130259.544000002</v>
      </c>
      <c r="J12" s="184">
        <f t="shared" si="0"/>
        <v>17904588.093840003</v>
      </c>
      <c r="K12" s="184">
        <f t="shared" si="0"/>
        <v>19695046.903224003</v>
      </c>
      <c r="L12" s="184">
        <f t="shared" si="0"/>
        <v>21467601.124514163</v>
      </c>
      <c r="M12" s="184">
        <f t="shared" si="0"/>
        <v>23185009.2144753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5"/>
      <c r="B13" s="53" t="s">
        <v>116</v>
      </c>
      <c r="C13" s="248">
        <v>1593411.075</v>
      </c>
      <c r="D13" s="248">
        <v>1856756.949</v>
      </c>
      <c r="E13" s="248">
        <v>2193769.8020000001</v>
      </c>
      <c r="F13" s="188"/>
      <c r="G13" s="184">
        <f>+G9/365*G30</f>
        <v>2193769.8020000001</v>
      </c>
      <c r="H13" s="184"/>
      <c r="I13" s="185">
        <f t="shared" si="0"/>
        <v>2454065.6057017418</v>
      </c>
      <c r="J13" s="184">
        <f t="shared" si="0"/>
        <v>2715365.1625755085</v>
      </c>
      <c r="K13" s="184">
        <f t="shared" si="0"/>
        <v>2977389.2531042914</v>
      </c>
      <c r="L13" s="184">
        <f t="shared" si="0"/>
        <v>3234985.7418393213</v>
      </c>
      <c r="M13" s="184">
        <f t="shared" si="0"/>
        <v>3482586.5736185624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">
      <c r="A14" s="5"/>
      <c r="B14" s="53" t="s">
        <v>117</v>
      </c>
      <c r="C14" s="248">
        <v>17158840.756999999</v>
      </c>
      <c r="D14" s="248">
        <v>22982221.465</v>
      </c>
      <c r="E14" s="248">
        <v>31019545.273000009</v>
      </c>
      <c r="F14" s="189"/>
      <c r="G14" s="190">
        <f>+G8*G31</f>
        <v>31019545.273000009</v>
      </c>
      <c r="H14" s="190"/>
      <c r="I14" s="191">
        <f>+I8*I31</f>
        <v>34741890.70576001</v>
      </c>
      <c r="J14" s="190">
        <f>+J8*J31</f>
        <v>38563498.683393613</v>
      </c>
      <c r="K14" s="190">
        <f>+K8*K31</f>
        <v>42419848.551732972</v>
      </c>
      <c r="L14" s="190">
        <f>+L8*L31</f>
        <v>46237634.921388946</v>
      </c>
      <c r="M14" s="190">
        <f>+M8*M31</f>
        <v>49936645.715100065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14"/>
      <c r="B15" s="14" t="s">
        <v>118</v>
      </c>
      <c r="C15" s="23">
        <f>SUM(C12:C14)</f>
        <v>28426595.068999998</v>
      </c>
      <c r="D15" s="23">
        <f>SUM(D12:D14)</f>
        <v>36220502.407000005</v>
      </c>
      <c r="E15" s="23">
        <f>SUM(E12:E14)</f>
        <v>47615332.525000006</v>
      </c>
      <c r="F15" s="23"/>
      <c r="G15" s="23">
        <f>SUM(G12:G14)</f>
        <v>47615332.525000006</v>
      </c>
      <c r="H15" s="23"/>
      <c r="I15" s="192">
        <f>SUM(I12:I14)</f>
        <v>53326215.855461754</v>
      </c>
      <c r="J15" s="23">
        <f>SUM(J12:J14)</f>
        <v>59183451.939809129</v>
      </c>
      <c r="K15" s="23">
        <f>SUM(K12:K14)</f>
        <v>65092284.708061263</v>
      </c>
      <c r="L15" s="23">
        <f>SUM(L12:L14)</f>
        <v>70940221.787742436</v>
      </c>
      <c r="M15" s="23">
        <f>SUM(M12:M14)</f>
        <v>76604241.50319393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.75" customHeight="1" x14ac:dyDescent="0.2">
      <c r="A16" s="5"/>
      <c r="B16" s="14"/>
      <c r="C16" s="193"/>
      <c r="D16" s="193"/>
      <c r="E16" s="193"/>
      <c r="F16" s="5"/>
      <c r="G16" s="82"/>
      <c r="H16" s="193"/>
      <c r="I16" s="194"/>
      <c r="J16" s="193"/>
      <c r="K16" s="193"/>
      <c r="L16" s="193"/>
      <c r="M16" s="193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">
      <c r="A17" s="5"/>
      <c r="B17" s="187" t="s">
        <v>119</v>
      </c>
      <c r="C17" s="92"/>
      <c r="D17" s="92"/>
      <c r="E17" s="92"/>
      <c r="F17" s="5"/>
      <c r="G17" s="45"/>
      <c r="H17" s="92"/>
      <c r="I17" s="186"/>
      <c r="J17" s="92"/>
      <c r="K17" s="92"/>
      <c r="L17" s="92"/>
      <c r="M17" s="9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5"/>
      <c r="B18" s="53" t="s">
        <v>120</v>
      </c>
      <c r="C18" s="248">
        <v>2602977.2910000002</v>
      </c>
      <c r="D18" s="248">
        <v>4423912.84</v>
      </c>
      <c r="E18" s="248">
        <v>3837081.3149999999</v>
      </c>
      <c r="F18" s="188"/>
      <c r="G18" s="184">
        <f>+G9/365*G33</f>
        <v>3837081.3149999999</v>
      </c>
      <c r="H18" s="184"/>
      <c r="I18" s="185">
        <f>+I9/365*I33</f>
        <v>4292359.7876302209</v>
      </c>
      <c r="J18" s="184">
        <f>+J9/365*J33</f>
        <v>4749393.9059702773</v>
      </c>
      <c r="K18" s="184">
        <f>+K9/365*K33</f>
        <v>5207695.2924381094</v>
      </c>
      <c r="L18" s="184">
        <f>+L9/365*L33</f>
        <v>5658252.4442567173</v>
      </c>
      <c r="M18" s="184">
        <f>+M9/365*M33</f>
        <v>6091326.3813363668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5"/>
      <c r="B19" s="53" t="s">
        <v>121</v>
      </c>
      <c r="C19" s="248">
        <v>5166697.665</v>
      </c>
      <c r="D19" s="248">
        <v>6639835.3490000004</v>
      </c>
      <c r="E19" s="248">
        <v>7924298.2340000002</v>
      </c>
      <c r="F19" s="188"/>
      <c r="G19" s="184">
        <f>+G8*G34</f>
        <v>7924298.2340000002</v>
      </c>
      <c r="H19" s="184"/>
      <c r="I19" s="185">
        <f>+I8*I34</f>
        <v>8875214.0220800042</v>
      </c>
      <c r="J19" s="184">
        <f>+J8*J34</f>
        <v>9851487.5645088051</v>
      </c>
      <c r="K19" s="184">
        <f>+K8*K34</f>
        <v>10836636.320959685</v>
      </c>
      <c r="L19" s="184">
        <f>+L8*L34</f>
        <v>11811933.589846058</v>
      </c>
      <c r="M19" s="184">
        <f>+M8*M34</f>
        <v>12756888.277033744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2">
      <c r="A20" s="5"/>
      <c r="B20" s="53" t="s">
        <v>122</v>
      </c>
      <c r="C20" s="248">
        <v>21881998.600000001</v>
      </c>
      <c r="D20" s="248">
        <v>23772435.879000001</v>
      </c>
      <c r="E20" s="248">
        <v>29763549.171999998</v>
      </c>
      <c r="F20" s="189"/>
      <c r="G20" s="190">
        <f>+G8*G35</f>
        <v>29763549.171999998</v>
      </c>
      <c r="H20" s="190"/>
      <c r="I20" s="191">
        <f>+I8*I35</f>
        <v>33335175.072640005</v>
      </c>
      <c r="J20" s="190">
        <f>+J8*J35</f>
        <v>37002044.330630414</v>
      </c>
      <c r="K20" s="190">
        <f>+K8*K35</f>
        <v>40702248.763693452</v>
      </c>
      <c r="L20" s="190">
        <f>+L8*L35</f>
        <v>44365451.15242587</v>
      </c>
      <c r="M20" s="190">
        <f>+M8*M35</f>
        <v>47914687.244619943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14"/>
      <c r="B21" s="14" t="s">
        <v>123</v>
      </c>
      <c r="C21" s="23">
        <f>SUM(C18:C20)</f>
        <v>29651673.556000002</v>
      </c>
      <c r="D21" s="23">
        <f>SUM(D18:D20)</f>
        <v>34836184.068000004</v>
      </c>
      <c r="E21" s="23">
        <f>SUM(E18:E20)</f>
        <v>41524928.721000001</v>
      </c>
      <c r="F21" s="23"/>
      <c r="G21" s="23">
        <f>SUM(G18:G20)</f>
        <v>41524928.721000001</v>
      </c>
      <c r="H21" s="23"/>
      <c r="I21" s="192">
        <f>SUM(I18:I20)</f>
        <v>46502748.882350229</v>
      </c>
      <c r="J21" s="23">
        <f>SUM(J18:J20)</f>
        <v>51602925.801109493</v>
      </c>
      <c r="K21" s="23">
        <f>SUM(K18:K20)</f>
        <v>56746580.377091244</v>
      </c>
      <c r="L21" s="23">
        <f>SUM(L18:L20)</f>
        <v>61835637.186528645</v>
      </c>
      <c r="M21" s="23">
        <f>SUM(M18:M20)</f>
        <v>66762901.902990058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.75" customHeight="1" x14ac:dyDescent="0.2">
      <c r="A22" s="5"/>
      <c r="B22" s="5"/>
      <c r="C22" s="23"/>
      <c r="D22" s="23"/>
      <c r="E22" s="23"/>
      <c r="F22" s="23"/>
      <c r="G22" s="23"/>
      <c r="H22" s="23"/>
      <c r="I22" s="192"/>
      <c r="J22" s="23"/>
      <c r="K22" s="23"/>
      <c r="L22" s="23"/>
      <c r="M22" s="23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14"/>
      <c r="B23" s="14" t="s">
        <v>124</v>
      </c>
      <c r="C23" s="23">
        <f>+C15-C21</f>
        <v>-1225078.4870000035</v>
      </c>
      <c r="D23" s="23">
        <f>+D15-D21</f>
        <v>1384318.3390000015</v>
      </c>
      <c r="E23" s="23">
        <f>+E15-E21</f>
        <v>6090403.8040000051</v>
      </c>
      <c r="F23" s="23"/>
      <c r="G23" s="23">
        <f>+G15-G21</f>
        <v>6090403.8040000051</v>
      </c>
      <c r="H23" s="23"/>
      <c r="I23" s="192">
        <f>+I15-I21</f>
        <v>6823466.9731115252</v>
      </c>
      <c r="J23" s="23">
        <f>+J15-J21</f>
        <v>7580526.1386996359</v>
      </c>
      <c r="K23" s="23">
        <f>+K15-K21</f>
        <v>8345704.3309700191</v>
      </c>
      <c r="L23" s="23">
        <f>+L15-L21</f>
        <v>9104584.6012137905</v>
      </c>
      <c r="M23" s="23">
        <f>+M15-M21</f>
        <v>9841339.6002038717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.75" customHeight="1" x14ac:dyDescent="0.2">
      <c r="A24" s="5"/>
      <c r="B24" s="195" t="s">
        <v>125</v>
      </c>
      <c r="C24" s="26">
        <f>+IF(ISERROR(C23/C8),0,C23/C8)</f>
        <v>-2.3282542019832438E-2</v>
      </c>
      <c r="D24" s="26">
        <f>+IF(ISERROR(D23/D8),0,D23/D8)</f>
        <v>2.2026171755480547E-2</v>
      </c>
      <c r="E24" s="26">
        <f>+IF(ISERROR(E23/E8),0,E23/E8)</f>
        <v>8.686575951299301E-2</v>
      </c>
      <c r="F24" s="26"/>
      <c r="G24" s="26">
        <f>+IF(ISERROR(G23/G8),0,G23/G8)</f>
        <v>8.686575951299301E-2</v>
      </c>
      <c r="H24" s="26"/>
      <c r="I24" s="196">
        <f>+IF(ISERROR(I23/I8),0,I23/I8)</f>
        <v>8.6893962940676583E-2</v>
      </c>
      <c r="J24" s="26">
        <f>+IF(ISERROR(J23/J8),0,J23/J8)</f>
        <v>8.696828007749699E-2</v>
      </c>
      <c r="K24" s="26">
        <f>+IF(ISERROR(K23/K8),0,K23/K8)</f>
        <v>8.7042597214317313E-2</v>
      </c>
      <c r="L24" s="26">
        <f>+IF(ISERROR(L23/L8),0,L23/L8)</f>
        <v>8.7116914351137775E-2</v>
      </c>
      <c r="M24" s="26">
        <f>+IF(ISERROR(M23/M8),0,M23/M8)</f>
        <v>8.7191231487958126E-2</v>
      </c>
      <c r="N24" s="68"/>
      <c r="O24" s="68"/>
      <c r="P24" s="68"/>
      <c r="Q24" s="68"/>
      <c r="R24" s="68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5"/>
      <c r="C25" s="92"/>
      <c r="D25" s="92"/>
      <c r="E25" s="92"/>
      <c r="F25" s="5"/>
      <c r="G25" s="92"/>
      <c r="H25" s="92"/>
      <c r="I25" s="186"/>
      <c r="J25" s="92"/>
      <c r="K25" s="92"/>
      <c r="L25" s="92"/>
      <c r="M25" s="92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197"/>
      <c r="B26" s="198" t="s">
        <v>126</v>
      </c>
      <c r="C26" s="66"/>
      <c r="D26" s="66">
        <f>+C23-D23</f>
        <v>-2609396.826000005</v>
      </c>
      <c r="E26" s="66">
        <f>+D23-E23</f>
        <v>-4706085.4650000036</v>
      </c>
      <c r="F26" s="66"/>
      <c r="G26" s="66">
        <f>+E23-G23</f>
        <v>0</v>
      </c>
      <c r="H26" s="66"/>
      <c r="I26" s="199">
        <f>+G23-I23</f>
        <v>-733063.16911152005</v>
      </c>
      <c r="J26" s="66">
        <f>+I23-J23</f>
        <v>-757059.16558811069</v>
      </c>
      <c r="K26" s="66">
        <f>+J23-K23</f>
        <v>-765178.19227038324</v>
      </c>
      <c r="L26" s="66">
        <f>+K23-L23</f>
        <v>-758880.27024377137</v>
      </c>
      <c r="M26" s="66">
        <f>+L23-M23</f>
        <v>-736754.99899008125</v>
      </c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2.75" customHeight="1" x14ac:dyDescent="0.2">
      <c r="A27" s="197"/>
      <c r="B27" s="197"/>
      <c r="C27" s="197"/>
      <c r="D27" s="197"/>
      <c r="E27" s="197"/>
      <c r="F27" s="197"/>
      <c r="G27" s="197"/>
      <c r="H27" s="197"/>
      <c r="I27" s="200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2.75" customHeight="1" x14ac:dyDescent="0.2">
      <c r="A28" s="5"/>
      <c r="B28" s="115" t="s">
        <v>76</v>
      </c>
      <c r="C28" s="5"/>
      <c r="D28" s="5"/>
      <c r="E28" s="5"/>
      <c r="F28" s="5"/>
      <c r="G28" s="5"/>
      <c r="H28" s="5"/>
      <c r="I28" s="20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202" t="s">
        <v>127</v>
      </c>
      <c r="C29" s="203">
        <f t="shared" ref="C29:E30" si="1">+IF(ISERROR(C12/C8*365),0,C12/C8*365)</f>
        <v>67.109010926050786</v>
      </c>
      <c r="D29" s="203">
        <f t="shared" si="1"/>
        <v>66.099219568861955</v>
      </c>
      <c r="E29" s="203">
        <f t="shared" si="1"/>
        <v>74.975389476568452</v>
      </c>
      <c r="F29" s="203"/>
      <c r="G29" s="203">
        <f>E29</f>
        <v>74.975389476568452</v>
      </c>
      <c r="H29" s="203"/>
      <c r="I29" s="204">
        <f>'A2'!F9</f>
        <v>74.975389476568452</v>
      </c>
      <c r="J29" s="203">
        <f>'A2'!G9</f>
        <v>74.975389476568452</v>
      </c>
      <c r="K29" s="203">
        <f>'A2'!H9</f>
        <v>74.975389476568452</v>
      </c>
      <c r="L29" s="203">
        <f>'A2'!I9</f>
        <v>74.975389476568452</v>
      </c>
      <c r="M29" s="205">
        <f>'A2'!J9</f>
        <v>74.975389476568452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206" t="s">
        <v>128</v>
      </c>
      <c r="C30" s="207">
        <f t="shared" si="1"/>
        <v>18.006959782750936</v>
      </c>
      <c r="D30" s="207">
        <f t="shared" si="1"/>
        <v>17.310563632248297</v>
      </c>
      <c r="E30" s="207">
        <f t="shared" si="1"/>
        <v>18.106019939575301</v>
      </c>
      <c r="F30" s="207"/>
      <c r="G30" s="207">
        <f>E30</f>
        <v>18.106019939575301</v>
      </c>
      <c r="H30" s="207"/>
      <c r="I30" s="208">
        <f>'A2'!F16</f>
        <v>18.106019939575301</v>
      </c>
      <c r="J30" s="207">
        <f>'A2'!G16</f>
        <v>18.106019939575301</v>
      </c>
      <c r="K30" s="207">
        <f>'A2'!H16</f>
        <v>18.106019939575301</v>
      </c>
      <c r="L30" s="207">
        <f>'A2'!I16</f>
        <v>18.106019939575301</v>
      </c>
      <c r="M30" s="209">
        <f>'A2'!J16</f>
        <v>18.106019939575301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206" t="s">
        <v>129</v>
      </c>
      <c r="C31" s="123">
        <f>+IF(ISERROR(C14/C8),0,C14/C8)</f>
        <v>0.32610272335674834</v>
      </c>
      <c r="D31" s="123">
        <f>+IF(ISERROR(D14/D8),0,D14/D8)</f>
        <v>0.36567481846426736</v>
      </c>
      <c r="E31" s="123">
        <f>+IF(ISERROR(E14/E8),0,E14/E8)</f>
        <v>0.44242326890002309</v>
      </c>
      <c r="F31" s="210"/>
      <c r="G31" s="123">
        <f>E31</f>
        <v>0.44242326890002309</v>
      </c>
      <c r="H31" s="123"/>
      <c r="I31" s="124">
        <f>'A2'!F23</f>
        <v>0.44242326890002298</v>
      </c>
      <c r="J31" s="123">
        <f>'A2'!G23</f>
        <v>0.44242326890002298</v>
      </c>
      <c r="K31" s="123">
        <f>'A2'!H23</f>
        <v>0.44242326890002298</v>
      </c>
      <c r="L31" s="123">
        <f>'A2'!I23</f>
        <v>0.44242326890002298</v>
      </c>
      <c r="M31" s="125">
        <f>'A2'!J23</f>
        <v>0.44242326890002298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211"/>
      <c r="C32" s="212"/>
      <c r="D32" s="212"/>
      <c r="E32" s="212"/>
      <c r="F32" s="62"/>
      <c r="G32" s="212"/>
      <c r="H32" s="62"/>
      <c r="I32" s="213"/>
      <c r="J32" s="62"/>
      <c r="K32" s="62"/>
      <c r="L32" s="62"/>
      <c r="M32" s="214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206" t="s">
        <v>130</v>
      </c>
      <c r="C33" s="207">
        <f>+IF(ISERROR(C18/C9*365),0,C18/C9*365)</f>
        <v>29.415954319541171</v>
      </c>
      <c r="D33" s="207">
        <f>+IF(ISERROR(D18/D9*365),0,D18/D9*365)</f>
        <v>41.24418371590555</v>
      </c>
      <c r="E33" s="207">
        <f>+IF(ISERROR(E18/E9*365),0,E18/E9*365)</f>
        <v>31.668897409301568</v>
      </c>
      <c r="F33" s="207"/>
      <c r="G33" s="207">
        <f>E33</f>
        <v>31.668897409301568</v>
      </c>
      <c r="H33" s="207"/>
      <c r="I33" s="208">
        <f>'A2'!F31</f>
        <v>31.668897409301572</v>
      </c>
      <c r="J33" s="207">
        <f>'A2'!G31</f>
        <v>31.668897409301572</v>
      </c>
      <c r="K33" s="207">
        <f>'A2'!H31</f>
        <v>31.668897409301572</v>
      </c>
      <c r="L33" s="207">
        <f>'A2'!I31</f>
        <v>31.668897409301572</v>
      </c>
      <c r="M33" s="209">
        <f>'A2'!J31</f>
        <v>31.668897409301572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206" t="s">
        <v>131</v>
      </c>
      <c r="C34" s="123">
        <f>+IF(ISERROR(C19/C8),0,C19/C8)</f>
        <v>9.8192774394161977E-2</v>
      </c>
      <c r="D34" s="123">
        <f>+IF(ISERROR(D19/D8),0,D19/D8)</f>
        <v>0.10564777602443144</v>
      </c>
      <c r="E34" s="123">
        <f>+IF(ISERROR(E19/E8),0,E19/E8)</f>
        <v>0.11302209292785977</v>
      </c>
      <c r="F34" s="210"/>
      <c r="G34" s="123">
        <f>E34</f>
        <v>0.11302209292785977</v>
      </c>
      <c r="H34" s="123"/>
      <c r="I34" s="124">
        <f>'A2'!F38</f>
        <v>0.11302209292785979</v>
      </c>
      <c r="J34" s="123">
        <f>'A2'!G38</f>
        <v>0.11302209292785979</v>
      </c>
      <c r="K34" s="123">
        <f>'A2'!H38</f>
        <v>0.11302209292785979</v>
      </c>
      <c r="L34" s="123">
        <f>'A2'!I38</f>
        <v>0.11302209292785979</v>
      </c>
      <c r="M34" s="125">
        <f>'A2'!J38</f>
        <v>0.11302209292785979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215" t="s">
        <v>132</v>
      </c>
      <c r="C35" s="133">
        <f>+IF(ISERROR(C20/C8),0,C20/C8)</f>
        <v>0.41586605045200925</v>
      </c>
      <c r="D35" s="133">
        <f>+IF(ISERROR(D20/D8),0,D20/D8)</f>
        <v>0.37824808135912558</v>
      </c>
      <c r="E35" s="133">
        <f>+IF(ISERROR(E20/E8),0,E20/E8)</f>
        <v>0.42450934089625625</v>
      </c>
      <c r="F35" s="216"/>
      <c r="G35" s="133">
        <f>E35</f>
        <v>0.42450934089625625</v>
      </c>
      <c r="H35" s="133"/>
      <c r="I35" s="132">
        <f>'A2'!F45</f>
        <v>0.4245093408962563</v>
      </c>
      <c r="J35" s="133">
        <f>'A2'!G45</f>
        <v>0.4245093408962563</v>
      </c>
      <c r="K35" s="133">
        <f>'A2'!H45</f>
        <v>0.4245093408962563</v>
      </c>
      <c r="L35" s="133">
        <f>'A2'!I45</f>
        <v>0.4245093408962563</v>
      </c>
      <c r="M35" s="134">
        <f>'A2'!J45</f>
        <v>0.4245093408962563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3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C5:E5"/>
    <mergeCell ref="I5:M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4" width="15.7109375" style="261" customWidth="1"/>
    <col min="5" max="5" width="10.7109375" style="261" customWidth="1"/>
    <col min="6" max="6" width="22.7109375" style="261" customWidth="1"/>
    <col min="7" max="12" width="15.28515625" style="261" customWidth="1"/>
    <col min="13" max="13" width="0.85546875" style="261" customWidth="1"/>
    <col min="14" max="14" width="8.28515625" style="261" customWidth="1"/>
    <col min="15" max="26" width="8" style="261" customWidth="1"/>
  </cols>
  <sheetData>
    <row r="1" spans="1:26" ht="20.25" customHeight="1" x14ac:dyDescent="0.3">
      <c r="A1" s="174" t="str">
        <f>+DCF!A1</f>
        <v>ValueCo Corporation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 customHeight="1" x14ac:dyDescent="0.25">
      <c r="A2" s="7" t="s">
        <v>133</v>
      </c>
      <c r="B2" s="136" t="s">
        <v>134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8" t="s">
        <v>85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76"/>
      <c r="N3" s="17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7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2"/>
      <c r="B6" s="309" t="s">
        <v>135</v>
      </c>
      <c r="C6" s="303"/>
      <c r="D6" s="303"/>
      <c r="E6" s="12"/>
      <c r="F6" s="309" t="s">
        <v>136</v>
      </c>
      <c r="G6" s="303"/>
      <c r="H6" s="303"/>
      <c r="I6" s="303"/>
      <c r="J6" s="303"/>
      <c r="K6" s="303"/>
      <c r="L6" s="303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12"/>
      <c r="B7" s="115" t="s">
        <v>137</v>
      </c>
      <c r="C7" s="12"/>
      <c r="D7" s="12"/>
      <c r="E7" s="12"/>
      <c r="F7" s="5"/>
      <c r="G7" s="15" t="s">
        <v>138</v>
      </c>
      <c r="H7" s="15" t="s">
        <v>139</v>
      </c>
      <c r="I7" s="15" t="s">
        <v>139</v>
      </c>
      <c r="J7" s="15" t="s">
        <v>140</v>
      </c>
      <c r="K7" s="15" t="s">
        <v>141</v>
      </c>
      <c r="L7" s="15" t="s">
        <v>142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6.5" customHeight="1" x14ac:dyDescent="0.2">
      <c r="A8" s="12"/>
      <c r="B8" s="5" t="s">
        <v>143</v>
      </c>
      <c r="C8" s="5"/>
      <c r="D8" s="249">
        <v>0.14289656541512361</v>
      </c>
      <c r="E8" s="12"/>
      <c r="F8" s="218" t="s">
        <v>4</v>
      </c>
      <c r="G8" s="219" t="s">
        <v>144</v>
      </c>
      <c r="H8" s="219" t="s">
        <v>145</v>
      </c>
      <c r="I8" s="219" t="s">
        <v>146</v>
      </c>
      <c r="J8" s="219" t="s">
        <v>147</v>
      </c>
      <c r="K8" s="219" t="s">
        <v>82</v>
      </c>
      <c r="L8" s="219" t="s">
        <v>148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2"/>
      <c r="B9" s="220" t="s">
        <v>149</v>
      </c>
      <c r="C9" s="12"/>
      <c r="D9" s="221">
        <f>1-D8</f>
        <v>0.85710343458487637</v>
      </c>
      <c r="E9" s="12"/>
      <c r="F9" s="222" t="s">
        <v>150</v>
      </c>
      <c r="G9" s="283">
        <v>0</v>
      </c>
      <c r="H9" s="223">
        <v>0</v>
      </c>
      <c r="I9" s="223">
        <v>0</v>
      </c>
      <c r="J9" s="221">
        <f>+IF(ISERROR(H9/I9),0,H9/I9)</f>
        <v>0</v>
      </c>
      <c r="K9" s="54">
        <v>0</v>
      </c>
      <c r="L9" s="284">
        <f>+G9/(1+(J9)*(1-K9))</f>
        <v>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2"/>
      <c r="B10" s="220"/>
      <c r="C10" s="12"/>
      <c r="D10" s="68"/>
      <c r="E10" s="12"/>
      <c r="F10" s="222" t="s">
        <v>151</v>
      </c>
      <c r="G10" s="283">
        <v>0</v>
      </c>
      <c r="H10" s="89">
        <v>0</v>
      </c>
      <c r="I10" s="89">
        <v>0</v>
      </c>
      <c r="J10" s="221">
        <f>+IF(ISERROR(H10/I10),0,H10/I10)</f>
        <v>0</v>
      </c>
      <c r="K10" s="54">
        <v>0</v>
      </c>
      <c r="L10" s="284">
        <f>+G10/(1+(J10)*(1-K10))</f>
        <v>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12"/>
      <c r="C11" s="12"/>
      <c r="D11" s="12"/>
      <c r="E11" s="12"/>
      <c r="F11" s="222" t="s">
        <v>152</v>
      </c>
      <c r="G11" s="283">
        <v>0</v>
      </c>
      <c r="H11" s="89">
        <v>0</v>
      </c>
      <c r="I11" s="89">
        <v>0</v>
      </c>
      <c r="J11" s="221">
        <f>+IF(ISERROR(H11/I11),0,H11/I11)</f>
        <v>0</v>
      </c>
      <c r="K11" s="54">
        <v>0</v>
      </c>
      <c r="L11" s="284">
        <f>+G11/(1+(J11)*(1-K11))</f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2"/>
      <c r="B12" s="115" t="s">
        <v>153</v>
      </c>
      <c r="C12" s="5"/>
      <c r="D12" s="5"/>
      <c r="E12" s="12"/>
      <c r="F12" s="222" t="s">
        <v>154</v>
      </c>
      <c r="G12" s="283">
        <v>0</v>
      </c>
      <c r="H12" s="89">
        <v>0</v>
      </c>
      <c r="I12" s="89">
        <v>0</v>
      </c>
      <c r="J12" s="221">
        <f>+IF(ISERROR(H12/I12),0,H12/I12)</f>
        <v>0</v>
      </c>
      <c r="K12" s="54">
        <v>0</v>
      </c>
      <c r="L12" s="284">
        <f>+G12/(1+(J12)*(1-K12))</f>
        <v>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2"/>
      <c r="B13" s="5" t="s">
        <v>153</v>
      </c>
      <c r="C13" s="5"/>
      <c r="D13" s="249">
        <v>7.4999999999999997E-2</v>
      </c>
      <c r="E13" s="12"/>
      <c r="F13" s="222" t="s">
        <v>155</v>
      </c>
      <c r="G13" s="283">
        <v>0</v>
      </c>
      <c r="H13" s="89">
        <v>0</v>
      </c>
      <c r="I13" s="89">
        <v>0</v>
      </c>
      <c r="J13" s="221">
        <f>+IF(ISERROR(H13/I13),0,H13/I13)</f>
        <v>0</v>
      </c>
      <c r="K13" s="54">
        <v>0</v>
      </c>
      <c r="L13" s="284">
        <f>+G13/(1+(J13)*(1-K13))</f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2"/>
      <c r="B14" s="5" t="s">
        <v>82</v>
      </c>
      <c r="C14" s="5"/>
      <c r="D14" s="249">
        <v>0.2</v>
      </c>
      <c r="E14" s="12"/>
      <c r="F14" s="5"/>
      <c r="G14" s="285"/>
      <c r="H14" s="224"/>
      <c r="I14" s="224"/>
      <c r="J14" s="221"/>
      <c r="K14" s="225"/>
      <c r="L14" s="28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2"/>
      <c r="B15" s="14" t="s">
        <v>156</v>
      </c>
      <c r="C15" s="14"/>
      <c r="D15" s="86">
        <f>+D13*(1-D14)</f>
        <v>0.06</v>
      </c>
      <c r="E15" s="12"/>
      <c r="F15" s="122" t="s">
        <v>157</v>
      </c>
      <c r="G15" s="287">
        <f>AVERAGE(G9:G14)</f>
        <v>0</v>
      </c>
      <c r="H15" s="62"/>
      <c r="I15" s="62"/>
      <c r="J15" s="226">
        <f>AVERAGE(J9:J14)</f>
        <v>0</v>
      </c>
      <c r="K15" s="62"/>
      <c r="L15" s="287">
        <f>AVERAGE(L9:L14)</f>
        <v>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2"/>
      <c r="B16" s="14"/>
      <c r="C16" s="14"/>
      <c r="D16" s="12"/>
      <c r="E16" s="12"/>
      <c r="F16" s="122" t="s">
        <v>158</v>
      </c>
      <c r="G16" s="287">
        <f>MEDIAN(G9:G14)</f>
        <v>0</v>
      </c>
      <c r="H16" s="62"/>
      <c r="I16" s="62"/>
      <c r="J16" s="226">
        <f>MEDIAN(J9:J14)</f>
        <v>0</v>
      </c>
      <c r="K16" s="62"/>
      <c r="L16" s="287">
        <f>MEDIAN(L9:L14)</f>
        <v>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 customHeight="1" x14ac:dyDescent="0.2">
      <c r="A18" s="12"/>
      <c r="B18" s="115" t="s">
        <v>159</v>
      </c>
      <c r="C18" s="5"/>
      <c r="D18" s="5"/>
      <c r="E18" s="5"/>
      <c r="F18" s="309" t="s">
        <v>160</v>
      </c>
      <c r="G18" s="303"/>
      <c r="H18" s="303"/>
      <c r="I18" s="303"/>
      <c r="J18" s="303"/>
      <c r="K18" s="303"/>
      <c r="L18" s="30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4.25" customHeight="1" x14ac:dyDescent="0.2">
      <c r="A19" s="12"/>
      <c r="B19" s="5" t="s">
        <v>161</v>
      </c>
      <c r="C19" s="5"/>
      <c r="D19" s="249">
        <v>3.5000000000000003E-2</v>
      </c>
      <c r="E19" s="12"/>
      <c r="F19" s="5"/>
      <c r="G19" s="5"/>
      <c r="H19" s="5"/>
      <c r="I19" s="15" t="s">
        <v>162</v>
      </c>
      <c r="J19" s="15" t="s">
        <v>163</v>
      </c>
      <c r="K19" s="15" t="s">
        <v>163</v>
      </c>
      <c r="L19" s="5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 x14ac:dyDescent="0.2">
      <c r="A20" s="12"/>
      <c r="B20" s="5" t="s">
        <v>164</v>
      </c>
      <c r="C20" s="5"/>
      <c r="D20" s="249">
        <v>7.4999999999999997E-2</v>
      </c>
      <c r="E20" s="12"/>
      <c r="F20" s="5"/>
      <c r="G20" s="5"/>
      <c r="H20" s="5"/>
      <c r="I20" s="15" t="s">
        <v>142</v>
      </c>
      <c r="J20" s="15" t="s">
        <v>140</v>
      </c>
      <c r="K20" s="15" t="s">
        <v>141</v>
      </c>
      <c r="L20" s="15" t="s">
        <v>165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 x14ac:dyDescent="0.2">
      <c r="A21" s="12"/>
      <c r="B21" s="5" t="s">
        <v>166</v>
      </c>
      <c r="C21" s="5"/>
      <c r="D21" s="284">
        <f>L22</f>
        <v>0</v>
      </c>
      <c r="E21" s="12"/>
      <c r="F21" s="5"/>
      <c r="G21" s="5"/>
      <c r="H21" s="5"/>
      <c r="I21" s="219" t="s">
        <v>148</v>
      </c>
      <c r="J21" s="219" t="s">
        <v>147</v>
      </c>
      <c r="K21" s="219" t="s">
        <v>82</v>
      </c>
      <c r="L21" s="219" t="s">
        <v>148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4.25" customHeight="1" x14ac:dyDescent="0.2">
      <c r="A22" s="12"/>
      <c r="B22" s="12" t="s">
        <v>167</v>
      </c>
      <c r="C22" s="12"/>
      <c r="D22" s="288">
        <v>0.01</v>
      </c>
      <c r="E22" s="12"/>
      <c r="F22" s="14" t="s">
        <v>168</v>
      </c>
      <c r="G22" s="5"/>
      <c r="H22" s="5"/>
      <c r="I22" s="284">
        <f>L15</f>
        <v>0</v>
      </c>
      <c r="J22" s="221">
        <f>D8/D9</f>
        <v>0.16672032761638991</v>
      </c>
      <c r="K22" s="221">
        <f>D14</f>
        <v>0.2</v>
      </c>
      <c r="L22" s="289">
        <f>+I22*(1+(J22)*(1-K22))</f>
        <v>0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14" t="s">
        <v>169</v>
      </c>
      <c r="C23" s="5"/>
      <c r="D23" s="86">
        <f>+D19+(D21*D20)+D22</f>
        <v>4.5000000000000005E-2</v>
      </c>
      <c r="E23" s="12"/>
      <c r="F23" s="14"/>
      <c r="G23" s="5"/>
      <c r="H23" s="5"/>
      <c r="I23" s="227"/>
      <c r="J23" s="87"/>
      <c r="K23" s="87"/>
      <c r="L23" s="290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customHeight="1" x14ac:dyDescent="0.2">
      <c r="A24" s="12"/>
      <c r="B24" s="14"/>
      <c r="C24" s="5"/>
      <c r="D24" s="12"/>
      <c r="E24" s="12"/>
      <c r="F24" s="309" t="s">
        <v>170</v>
      </c>
      <c r="G24" s="303"/>
      <c r="H24" s="303"/>
      <c r="I24" s="303"/>
      <c r="J24" s="303"/>
      <c r="K24" s="303"/>
      <c r="L24" s="30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 x14ac:dyDescent="0.2">
      <c r="A25" s="12"/>
      <c r="B25" s="115"/>
      <c r="C25" s="5"/>
      <c r="D25" s="5"/>
      <c r="E25" s="12"/>
      <c r="F25" s="5"/>
      <c r="G25" s="12"/>
      <c r="H25" s="307" t="s">
        <v>171</v>
      </c>
      <c r="I25" s="303"/>
      <c r="J25" s="303"/>
      <c r="K25" s="303"/>
      <c r="L25" s="30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14" t="s">
        <v>51</v>
      </c>
      <c r="C26" s="5"/>
      <c r="D26" s="250">
        <v>9.5000000000000001E-2</v>
      </c>
      <c r="E26" s="12"/>
      <c r="F26" s="304" t="s">
        <v>143</v>
      </c>
      <c r="G26" s="95">
        <f>D26</f>
        <v>9.5000000000000001E-2</v>
      </c>
      <c r="H26" s="228">
        <f>I26-0.005</f>
        <v>-0.01</v>
      </c>
      <c r="I26" s="228">
        <f>J26-0.005</f>
        <v>-5.0000000000000001E-3</v>
      </c>
      <c r="J26" s="229">
        <v>0</v>
      </c>
      <c r="K26" s="228">
        <f>J26+0.005</f>
        <v>5.0000000000000001E-3</v>
      </c>
      <c r="L26" s="228">
        <f>K26+0.005</f>
        <v>0.01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230"/>
      <c r="C27" s="230"/>
      <c r="D27" s="230"/>
      <c r="E27" s="12"/>
      <c r="F27" s="303"/>
      <c r="G27" s="99">
        <f>G28-0.1</f>
        <v>-0.2</v>
      </c>
      <c r="H27" s="147">
        <v>2E-3</v>
      </c>
      <c r="I27" s="102">
        <v>1E-3</v>
      </c>
      <c r="J27" s="102">
        <v>0</v>
      </c>
      <c r="K27" s="102">
        <v>-1E-3</v>
      </c>
      <c r="L27" s="102">
        <v>-2E-3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12"/>
      <c r="C28" s="12"/>
      <c r="D28" s="12"/>
      <c r="E28" s="12"/>
      <c r="F28" s="303"/>
      <c r="G28" s="99">
        <f>G29-0.1</f>
        <v>-0.1</v>
      </c>
      <c r="H28" s="101">
        <v>1E-3</v>
      </c>
      <c r="I28" s="104">
        <v>5.0000000000000001E-4</v>
      </c>
      <c r="J28" s="104">
        <v>0</v>
      </c>
      <c r="K28" s="104">
        <v>-5.0000000000000001E-4</v>
      </c>
      <c r="L28" s="102">
        <v>-1E-3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12"/>
      <c r="C29" s="12"/>
      <c r="D29" s="12"/>
      <c r="E29" s="12"/>
      <c r="F29" s="303"/>
      <c r="G29" s="105">
        <v>0</v>
      </c>
      <c r="H29" s="101">
        <v>0</v>
      </c>
      <c r="I29" s="104">
        <v>0</v>
      </c>
      <c r="J29" s="107">
        <v>0</v>
      </c>
      <c r="K29" s="104">
        <v>0</v>
      </c>
      <c r="L29" s="102">
        <v>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12"/>
      <c r="C30" s="12"/>
      <c r="D30" s="12"/>
      <c r="E30" s="12"/>
      <c r="F30" s="303"/>
      <c r="G30" s="99">
        <f>G29+0.1</f>
        <v>0.1</v>
      </c>
      <c r="H30" s="101">
        <v>-1E-3</v>
      </c>
      <c r="I30" s="104">
        <v>-5.0000000000000001E-4</v>
      </c>
      <c r="J30" s="104">
        <v>0</v>
      </c>
      <c r="K30" s="104">
        <v>5.0000000000000001E-4</v>
      </c>
      <c r="L30" s="102">
        <v>1E-3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12"/>
      <c r="C31" s="12"/>
      <c r="D31" s="12"/>
      <c r="E31" s="12"/>
      <c r="F31" s="303"/>
      <c r="G31" s="99">
        <f>G30+0.1</f>
        <v>0.2</v>
      </c>
      <c r="H31" s="101">
        <v>-2E-3</v>
      </c>
      <c r="I31" s="102">
        <v>-1E-3</v>
      </c>
      <c r="J31" s="102">
        <v>0</v>
      </c>
      <c r="K31" s="102">
        <v>1E-3</v>
      </c>
      <c r="L31" s="102">
        <v>2E-3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230"/>
      <c r="C32" s="230"/>
      <c r="D32" s="23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12" t="s">
        <v>172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12" t="s">
        <v>173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12" t="s">
        <v>174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12" t="s">
        <v>175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6">
    <mergeCell ref="F6:L6"/>
    <mergeCell ref="F26:F31"/>
    <mergeCell ref="H25:L25"/>
    <mergeCell ref="F24:L24"/>
    <mergeCell ref="B6:D6"/>
    <mergeCell ref="F18:L1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5" width="9.7109375" style="261" customWidth="1"/>
    <col min="6" max="15" width="12.7109375" style="261" customWidth="1"/>
    <col min="16" max="26" width="8" style="261" customWidth="1"/>
  </cols>
  <sheetData>
    <row r="1" spans="1:26" ht="3.75" customHeight="1" x14ac:dyDescent="0.2">
      <c r="A1" s="12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5">
      <c r="A2" s="12"/>
      <c r="B2" s="310" t="s">
        <v>177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2.75" customHeight="1" x14ac:dyDescent="0.2">
      <c r="A3" s="12"/>
      <c r="B3" s="12"/>
      <c r="C3" s="12"/>
      <c r="D3" s="12"/>
      <c r="E3" s="12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customHeight="1" x14ac:dyDescent="0.2">
      <c r="A4" s="12"/>
      <c r="B4" s="12"/>
      <c r="C4" s="12"/>
      <c r="D4" s="12"/>
      <c r="E4" s="12"/>
      <c r="F4" s="307" t="s">
        <v>24</v>
      </c>
      <c r="G4" s="303"/>
      <c r="H4" s="303"/>
      <c r="I4" s="303"/>
      <c r="J4" s="303"/>
      <c r="K4" s="303"/>
      <c r="L4" s="303"/>
      <c r="M4" s="303"/>
      <c r="N4" s="303"/>
      <c r="O4" s="303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12"/>
      <c r="B5" s="68"/>
      <c r="C5" s="12"/>
      <c r="D5" s="12"/>
      <c r="E5" s="12"/>
      <c r="F5" s="291">
        <v>1</v>
      </c>
      <c r="G5" s="291">
        <v>2</v>
      </c>
      <c r="H5" s="291">
        <v>3</v>
      </c>
      <c r="I5" s="291">
        <v>4</v>
      </c>
      <c r="J5" s="291">
        <v>5</v>
      </c>
      <c r="K5" s="291">
        <v>6</v>
      </c>
      <c r="L5" s="291">
        <v>7</v>
      </c>
      <c r="M5" s="291">
        <v>8</v>
      </c>
      <c r="N5" s="291">
        <v>9</v>
      </c>
      <c r="O5" s="291">
        <v>10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2"/>
      <c r="B6" s="68"/>
      <c r="C6" s="12"/>
      <c r="D6" s="12"/>
      <c r="E6" s="12"/>
      <c r="F6" s="17" t="s">
        <v>29</v>
      </c>
      <c r="G6" s="17" t="s">
        <v>30</v>
      </c>
      <c r="H6" s="17" t="s">
        <v>31</v>
      </c>
      <c r="I6" s="17" t="s">
        <v>32</v>
      </c>
      <c r="J6" s="17" t="s">
        <v>33</v>
      </c>
      <c r="K6" s="17" t="s">
        <v>178</v>
      </c>
      <c r="L6" s="17" t="s">
        <v>179</v>
      </c>
      <c r="M6" s="17" t="s">
        <v>180</v>
      </c>
      <c r="N6" s="17" t="s">
        <v>181</v>
      </c>
      <c r="O6" s="17" t="s">
        <v>182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12"/>
      <c r="B7" s="68"/>
      <c r="C7" s="12"/>
      <c r="D7" s="12"/>
      <c r="E7" s="12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12"/>
      <c r="B8" s="11" t="s">
        <v>183</v>
      </c>
      <c r="C8" s="12"/>
      <c r="D8" s="12"/>
      <c r="E8" s="12"/>
      <c r="F8" s="12"/>
      <c r="G8" s="114"/>
      <c r="H8" s="114"/>
      <c r="I8" s="114"/>
      <c r="J8" s="114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2"/>
      <c r="B9" s="68" t="s">
        <v>77</v>
      </c>
      <c r="C9" s="12"/>
      <c r="D9" s="12"/>
      <c r="E9" s="12"/>
      <c r="F9" s="232">
        <f>CHOOSE(DCF!$D$4,F10,F11,F12,F13,F14)</f>
        <v>0.12</v>
      </c>
      <c r="G9" s="232">
        <f>CHOOSE(DCF!$D$4,G10,G11,G12,G13,G14)</f>
        <v>0.11</v>
      </c>
      <c r="H9" s="232">
        <f>CHOOSE(DCF!$D$4,H10,H11,H12,H13,H14)</f>
        <v>0.1</v>
      </c>
      <c r="I9" s="232">
        <f>CHOOSE(DCF!$D$4,I10,I11,I12,I13,I14)</f>
        <v>0.09</v>
      </c>
      <c r="J9" s="232">
        <f>CHOOSE(DCF!$D$4,J10,J11,J12,J13,J14)</f>
        <v>0.08</v>
      </c>
      <c r="K9" s="233">
        <f>CHOOSE(DCF!$D$4,K10,K11,K12,K13,K14)</f>
        <v>0.08</v>
      </c>
      <c r="L9" s="233">
        <f>CHOOSE(DCF!$D$4,L10,L11,L12,L13,L14)</f>
        <v>0.08</v>
      </c>
      <c r="M9" s="233">
        <f>CHOOSE(DCF!$D$4,M10,M11,M12,M13,M14)</f>
        <v>0.08</v>
      </c>
      <c r="N9" s="233">
        <f>CHOOSE(DCF!$D$4,N10,N11,N12,N13,N14)</f>
        <v>0.08</v>
      </c>
      <c r="O9" s="233">
        <f>CHOOSE(DCF!$D$4,O10,O11,O12,O13,O14)</f>
        <v>0.08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2"/>
      <c r="B10" s="68" t="s">
        <v>184</v>
      </c>
      <c r="C10" s="12"/>
      <c r="D10" s="12"/>
      <c r="E10" s="12">
        <v>1</v>
      </c>
      <c r="F10" s="251">
        <v>0.12</v>
      </c>
      <c r="G10" s="252">
        <v>0.11</v>
      </c>
      <c r="H10" s="252">
        <v>0.1</v>
      </c>
      <c r="I10" s="252">
        <v>0.09</v>
      </c>
      <c r="J10" s="252">
        <v>0.08</v>
      </c>
      <c r="K10" s="234">
        <f t="shared" ref="K10:O14" si="0">+J10</f>
        <v>0.08</v>
      </c>
      <c r="L10" s="234">
        <f t="shared" si="0"/>
        <v>0.08</v>
      </c>
      <c r="M10" s="234">
        <f t="shared" si="0"/>
        <v>0.08</v>
      </c>
      <c r="N10" s="234">
        <f t="shared" si="0"/>
        <v>0.08</v>
      </c>
      <c r="O10" s="235">
        <f t="shared" si="0"/>
        <v>0.08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68" t="s">
        <v>185</v>
      </c>
      <c r="C11" s="12"/>
      <c r="D11" s="12"/>
      <c r="E11" s="12">
        <v>2</v>
      </c>
      <c r="F11" s="251">
        <v>0.14000000000000001</v>
      </c>
      <c r="G11" s="252">
        <v>0.13</v>
      </c>
      <c r="H11" s="252">
        <v>0.12</v>
      </c>
      <c r="I11" s="252">
        <v>0.11</v>
      </c>
      <c r="J11" s="252">
        <v>0.1</v>
      </c>
      <c r="K11" s="234">
        <f t="shared" si="0"/>
        <v>0.1</v>
      </c>
      <c r="L11" s="234">
        <f t="shared" si="0"/>
        <v>0.1</v>
      </c>
      <c r="M11" s="234">
        <f t="shared" si="0"/>
        <v>0.1</v>
      </c>
      <c r="N11" s="234">
        <f t="shared" si="0"/>
        <v>0.1</v>
      </c>
      <c r="O11" s="235">
        <f t="shared" si="0"/>
        <v>0.1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2"/>
      <c r="B12" s="68" t="s">
        <v>186</v>
      </c>
      <c r="C12" s="12"/>
      <c r="D12" s="12"/>
      <c r="E12" s="12">
        <v>3</v>
      </c>
      <c r="F12" s="251">
        <v>0.16</v>
      </c>
      <c r="G12" s="252">
        <v>0.15</v>
      </c>
      <c r="H12" s="252">
        <v>0.14000000000000001</v>
      </c>
      <c r="I12" s="252">
        <v>0.13</v>
      </c>
      <c r="J12" s="252">
        <v>0.12</v>
      </c>
      <c r="K12" s="234">
        <f t="shared" si="0"/>
        <v>0.12</v>
      </c>
      <c r="L12" s="234">
        <f t="shared" si="0"/>
        <v>0.12</v>
      </c>
      <c r="M12" s="234">
        <f t="shared" si="0"/>
        <v>0.12</v>
      </c>
      <c r="N12" s="234">
        <f t="shared" si="0"/>
        <v>0.12</v>
      </c>
      <c r="O12" s="235">
        <f t="shared" si="0"/>
        <v>0.12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2"/>
      <c r="B13" s="68" t="s">
        <v>187</v>
      </c>
      <c r="C13" s="12"/>
      <c r="D13" s="12"/>
      <c r="E13" s="12">
        <v>4</v>
      </c>
      <c r="F13" s="251">
        <v>0.09</v>
      </c>
      <c r="G13" s="252">
        <v>0.08</v>
      </c>
      <c r="H13" s="252">
        <v>7.0000000000000007E-2</v>
      </c>
      <c r="I13" s="252">
        <v>0.06</v>
      </c>
      <c r="J13" s="252">
        <v>0.05</v>
      </c>
      <c r="K13" s="234">
        <f t="shared" si="0"/>
        <v>0.05</v>
      </c>
      <c r="L13" s="234">
        <f t="shared" si="0"/>
        <v>0.05</v>
      </c>
      <c r="M13" s="234">
        <f t="shared" si="0"/>
        <v>0.05</v>
      </c>
      <c r="N13" s="234">
        <f t="shared" si="0"/>
        <v>0.05</v>
      </c>
      <c r="O13" s="235">
        <f t="shared" si="0"/>
        <v>0.05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2"/>
      <c r="B14" s="68" t="s">
        <v>188</v>
      </c>
      <c r="C14" s="12"/>
      <c r="D14" s="12"/>
      <c r="E14" s="12">
        <v>5</v>
      </c>
      <c r="F14" s="253">
        <v>0.06</v>
      </c>
      <c r="G14" s="252">
        <v>0.05</v>
      </c>
      <c r="H14" s="252">
        <v>4.0000000000000008E-2</v>
      </c>
      <c r="I14" s="252">
        <v>0.03</v>
      </c>
      <c r="J14" s="252">
        <v>0.02</v>
      </c>
      <c r="K14" s="236">
        <f t="shared" si="0"/>
        <v>0.02</v>
      </c>
      <c r="L14" s="236">
        <f t="shared" si="0"/>
        <v>0.02</v>
      </c>
      <c r="M14" s="236">
        <f t="shared" si="0"/>
        <v>0.02</v>
      </c>
      <c r="N14" s="236">
        <f t="shared" si="0"/>
        <v>0.02</v>
      </c>
      <c r="O14" s="237">
        <f t="shared" si="0"/>
        <v>0.02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2"/>
      <c r="B15" s="68"/>
      <c r="C15" s="12"/>
      <c r="D15" s="12"/>
      <c r="E15" s="12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2"/>
      <c r="B16" s="68" t="s">
        <v>189</v>
      </c>
      <c r="C16" s="12"/>
      <c r="D16" s="12"/>
      <c r="E16" s="12"/>
      <c r="F16" s="232">
        <f>CHOOSE(DCF!$D$4,F17,F18,F19,F20,F21)</f>
        <v>0.63</v>
      </c>
      <c r="G16" s="232">
        <f>CHOOSE(DCF!$D$4,G17,G18,G19,G20,G21)</f>
        <v>0.628</v>
      </c>
      <c r="H16" s="232">
        <f>CHOOSE(DCF!$D$4,H17,H18,H19,H20,H21)</f>
        <v>0.626</v>
      </c>
      <c r="I16" s="232">
        <f>CHOOSE(DCF!$D$4,I17,I18,I19,I20,I21)</f>
        <v>0.624</v>
      </c>
      <c r="J16" s="232">
        <f>CHOOSE(DCF!$D$4,J17,J18,J19,J20,J21)</f>
        <v>0.622</v>
      </c>
      <c r="K16" s="233">
        <f>CHOOSE(DCF!$D$4,K17,K18,K19,K20,K21)</f>
        <v>0.622</v>
      </c>
      <c r="L16" s="233">
        <f>CHOOSE(DCF!$D$4,L17,L18,L19,L20,L21)</f>
        <v>0.622</v>
      </c>
      <c r="M16" s="233">
        <f>CHOOSE(DCF!$D$4,M17,M18,M19,M20,M21)</f>
        <v>0.622</v>
      </c>
      <c r="N16" s="233">
        <f>CHOOSE(DCF!$D$4,N17,N18,N19,N20,N21)</f>
        <v>0.622</v>
      </c>
      <c r="O16" s="233">
        <f>CHOOSE(DCF!$D$4,O17,O18,O19,O20,O21)</f>
        <v>0.622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2"/>
      <c r="B17" s="68" t="s">
        <v>184</v>
      </c>
      <c r="C17" s="12"/>
      <c r="D17" s="12"/>
      <c r="E17" s="12">
        <v>1</v>
      </c>
      <c r="F17" s="251">
        <v>0.63</v>
      </c>
      <c r="G17" s="252">
        <v>0.628</v>
      </c>
      <c r="H17" s="252">
        <v>0.626</v>
      </c>
      <c r="I17" s="252">
        <v>0.624</v>
      </c>
      <c r="J17" s="252">
        <v>0.622</v>
      </c>
      <c r="K17" s="234">
        <f t="shared" ref="K17:O21" si="1">+J17</f>
        <v>0.622</v>
      </c>
      <c r="L17" s="234">
        <f t="shared" si="1"/>
        <v>0.622</v>
      </c>
      <c r="M17" s="234">
        <f t="shared" si="1"/>
        <v>0.622</v>
      </c>
      <c r="N17" s="234">
        <f t="shared" si="1"/>
        <v>0.622</v>
      </c>
      <c r="O17" s="235">
        <f t="shared" si="1"/>
        <v>0.622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12"/>
      <c r="B18" s="68" t="s">
        <v>185</v>
      </c>
      <c r="C18" s="12"/>
      <c r="D18" s="12"/>
      <c r="E18" s="12">
        <v>2</v>
      </c>
      <c r="F18" s="251">
        <v>0.625</v>
      </c>
      <c r="G18" s="252">
        <v>0.623</v>
      </c>
      <c r="H18" s="252">
        <v>0.621</v>
      </c>
      <c r="I18" s="252">
        <v>0.61899999999999999</v>
      </c>
      <c r="J18" s="252">
        <v>0.61699999999999999</v>
      </c>
      <c r="K18" s="234">
        <f t="shared" si="1"/>
        <v>0.61699999999999999</v>
      </c>
      <c r="L18" s="234">
        <f t="shared" si="1"/>
        <v>0.61699999999999999</v>
      </c>
      <c r="M18" s="234">
        <f t="shared" si="1"/>
        <v>0.61699999999999999</v>
      </c>
      <c r="N18" s="234">
        <f t="shared" si="1"/>
        <v>0.61699999999999999</v>
      </c>
      <c r="O18" s="235">
        <f t="shared" si="1"/>
        <v>0.61699999999999999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">
      <c r="A19" s="12"/>
      <c r="B19" s="68" t="s">
        <v>186</v>
      </c>
      <c r="C19" s="12"/>
      <c r="D19" s="12"/>
      <c r="E19" s="12">
        <v>3</v>
      </c>
      <c r="F19" s="251">
        <v>0.62</v>
      </c>
      <c r="G19" s="252">
        <v>0.61799999999999999</v>
      </c>
      <c r="H19" s="252">
        <v>0.61599999999999999</v>
      </c>
      <c r="I19" s="252">
        <v>0.61399999999999999</v>
      </c>
      <c r="J19" s="252">
        <v>0.61199999999999999</v>
      </c>
      <c r="K19" s="234">
        <f t="shared" si="1"/>
        <v>0.61199999999999999</v>
      </c>
      <c r="L19" s="234">
        <f t="shared" si="1"/>
        <v>0.61199999999999999</v>
      </c>
      <c r="M19" s="234">
        <f t="shared" si="1"/>
        <v>0.61199999999999999</v>
      </c>
      <c r="N19" s="234">
        <f t="shared" si="1"/>
        <v>0.61199999999999999</v>
      </c>
      <c r="O19" s="235">
        <f t="shared" si="1"/>
        <v>0.61199999999999999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12"/>
      <c r="B20" s="68" t="s">
        <v>187</v>
      </c>
      <c r="C20" s="12"/>
      <c r="D20" s="12"/>
      <c r="E20" s="12">
        <v>4</v>
      </c>
      <c r="F20" s="251">
        <v>0.64</v>
      </c>
      <c r="G20" s="252">
        <v>0.63800000000000001</v>
      </c>
      <c r="H20" s="252">
        <v>0.63600000000000001</v>
      </c>
      <c r="I20" s="252">
        <v>0.63400000000000001</v>
      </c>
      <c r="J20" s="252">
        <v>0.63200000000000001</v>
      </c>
      <c r="K20" s="234">
        <f t="shared" si="1"/>
        <v>0.63200000000000001</v>
      </c>
      <c r="L20" s="234">
        <f t="shared" si="1"/>
        <v>0.63200000000000001</v>
      </c>
      <c r="M20" s="234">
        <f t="shared" si="1"/>
        <v>0.63200000000000001</v>
      </c>
      <c r="N20" s="234">
        <f t="shared" si="1"/>
        <v>0.63200000000000001</v>
      </c>
      <c r="O20" s="235">
        <f t="shared" si="1"/>
        <v>0.63200000000000001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2"/>
      <c r="B21" s="68" t="s">
        <v>188</v>
      </c>
      <c r="C21" s="12"/>
      <c r="D21" s="12"/>
      <c r="E21" s="12">
        <v>5</v>
      </c>
      <c r="F21" s="253">
        <v>0.65</v>
      </c>
      <c r="G21" s="252">
        <v>0.64800000000000002</v>
      </c>
      <c r="H21" s="252">
        <v>0.64600000000000002</v>
      </c>
      <c r="I21" s="252">
        <v>0.64400000000000002</v>
      </c>
      <c r="J21" s="252">
        <v>0.64200000000000002</v>
      </c>
      <c r="K21" s="236">
        <f t="shared" si="1"/>
        <v>0.64200000000000002</v>
      </c>
      <c r="L21" s="236">
        <f t="shared" si="1"/>
        <v>0.64200000000000002</v>
      </c>
      <c r="M21" s="236">
        <f t="shared" si="1"/>
        <v>0.64200000000000002</v>
      </c>
      <c r="N21" s="236">
        <f t="shared" si="1"/>
        <v>0.64200000000000002</v>
      </c>
      <c r="O21" s="237">
        <f t="shared" si="1"/>
        <v>0.64200000000000002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68"/>
      <c r="C22" s="12"/>
      <c r="D22" s="12"/>
      <c r="E22" s="12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68" t="s">
        <v>79</v>
      </c>
      <c r="C23" s="12"/>
      <c r="D23" s="12"/>
      <c r="E23" s="12"/>
      <c r="F23" s="232">
        <f>CHOOSE(DCF!$D$4,F24,F25,F26,F27,F28)</f>
        <v>0.185</v>
      </c>
      <c r="G23" s="232">
        <f>CHOOSE(DCF!$D$4,G24,G25,G26,G27,G28)</f>
        <v>0.184</v>
      </c>
      <c r="H23" s="232">
        <f>CHOOSE(DCF!$D$4,H24,H25,H26,H27,H28)</f>
        <v>0.183</v>
      </c>
      <c r="I23" s="232">
        <f>CHOOSE(DCF!$D$4,I24,I25,I26,I27,I28)</f>
        <v>0.182</v>
      </c>
      <c r="J23" s="232">
        <f>CHOOSE(DCF!$D$4,J24,J25,J26,J27,J28)</f>
        <v>0.18099999999999999</v>
      </c>
      <c r="K23" s="233">
        <f>CHOOSE(DCF!$D$4,K24,K25,K26,K27,K28)</f>
        <v>0.18099999999999999</v>
      </c>
      <c r="L23" s="233">
        <f>CHOOSE(DCF!$D$4,L24,L25,L26,L27,L28)</f>
        <v>0.18099999999999999</v>
      </c>
      <c r="M23" s="233">
        <f>CHOOSE(DCF!$D$4,M24,M25,M26,M27,M28)</f>
        <v>0.18099999999999999</v>
      </c>
      <c r="N23" s="233">
        <f>CHOOSE(DCF!$D$4,N24,N25,N26,N27,N28)</f>
        <v>0.18099999999999999</v>
      </c>
      <c r="O23" s="233">
        <f>CHOOSE(DCF!$D$4,O24,O25,O26,O27,O28)</f>
        <v>0.18099999999999999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68" t="s">
        <v>184</v>
      </c>
      <c r="C24" s="12"/>
      <c r="D24" s="12"/>
      <c r="E24" s="12">
        <v>1</v>
      </c>
      <c r="F24" s="251">
        <v>0.185</v>
      </c>
      <c r="G24" s="252">
        <v>0.184</v>
      </c>
      <c r="H24" s="252">
        <v>0.183</v>
      </c>
      <c r="I24" s="252">
        <v>0.182</v>
      </c>
      <c r="J24" s="252">
        <v>0.18099999999999999</v>
      </c>
      <c r="K24" s="234">
        <f t="shared" ref="K24:O28" si="2">+J24</f>
        <v>0.18099999999999999</v>
      </c>
      <c r="L24" s="234">
        <f t="shared" si="2"/>
        <v>0.18099999999999999</v>
      </c>
      <c r="M24" s="234">
        <f t="shared" si="2"/>
        <v>0.18099999999999999</v>
      </c>
      <c r="N24" s="234">
        <f t="shared" si="2"/>
        <v>0.18099999999999999</v>
      </c>
      <c r="O24" s="235">
        <f t="shared" si="2"/>
        <v>0.18099999999999999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68" t="s">
        <v>185</v>
      </c>
      <c r="C25" s="12"/>
      <c r="D25" s="12"/>
      <c r="E25" s="12">
        <v>2</v>
      </c>
      <c r="F25" s="251">
        <v>0.185</v>
      </c>
      <c r="G25" s="252">
        <v>0.184</v>
      </c>
      <c r="H25" s="252">
        <v>0.183</v>
      </c>
      <c r="I25" s="252">
        <v>0.182</v>
      </c>
      <c r="J25" s="252">
        <v>0.18099999999999999</v>
      </c>
      <c r="K25" s="234">
        <f t="shared" si="2"/>
        <v>0.18099999999999999</v>
      </c>
      <c r="L25" s="234">
        <f t="shared" si="2"/>
        <v>0.18099999999999999</v>
      </c>
      <c r="M25" s="234">
        <f t="shared" si="2"/>
        <v>0.18099999999999999</v>
      </c>
      <c r="N25" s="234">
        <f t="shared" si="2"/>
        <v>0.18099999999999999</v>
      </c>
      <c r="O25" s="235">
        <f t="shared" si="2"/>
        <v>0.18099999999999999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68" t="s">
        <v>186</v>
      </c>
      <c r="C26" s="12"/>
      <c r="D26" s="12"/>
      <c r="E26" s="12">
        <v>3</v>
      </c>
      <c r="F26" s="251">
        <v>0.18</v>
      </c>
      <c r="G26" s="252">
        <v>0.17899999999999999</v>
      </c>
      <c r="H26" s="252">
        <v>0.17799999999999999</v>
      </c>
      <c r="I26" s="252">
        <v>0.17699999999999999</v>
      </c>
      <c r="J26" s="252">
        <v>0.17599999999999999</v>
      </c>
      <c r="K26" s="234">
        <f t="shared" si="2"/>
        <v>0.17599999999999999</v>
      </c>
      <c r="L26" s="234">
        <f t="shared" si="2"/>
        <v>0.17599999999999999</v>
      </c>
      <c r="M26" s="234">
        <f t="shared" si="2"/>
        <v>0.17599999999999999</v>
      </c>
      <c r="N26" s="234">
        <f t="shared" si="2"/>
        <v>0.17599999999999999</v>
      </c>
      <c r="O26" s="235">
        <f t="shared" si="2"/>
        <v>0.17599999999999999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68" t="s">
        <v>187</v>
      </c>
      <c r="C27" s="12"/>
      <c r="D27" s="12"/>
      <c r="E27" s="12">
        <v>4</v>
      </c>
      <c r="F27" s="251">
        <v>0.19</v>
      </c>
      <c r="G27" s="252">
        <v>0.189</v>
      </c>
      <c r="H27" s="252">
        <v>0.188</v>
      </c>
      <c r="I27" s="252">
        <v>0.187</v>
      </c>
      <c r="J27" s="252">
        <v>0.186</v>
      </c>
      <c r="K27" s="234">
        <f t="shared" si="2"/>
        <v>0.186</v>
      </c>
      <c r="L27" s="234">
        <f t="shared" si="2"/>
        <v>0.186</v>
      </c>
      <c r="M27" s="234">
        <f t="shared" si="2"/>
        <v>0.186</v>
      </c>
      <c r="N27" s="234">
        <f t="shared" si="2"/>
        <v>0.186</v>
      </c>
      <c r="O27" s="235">
        <f t="shared" si="2"/>
        <v>0.186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68" t="s">
        <v>188</v>
      </c>
      <c r="C28" s="12"/>
      <c r="D28" s="12"/>
      <c r="E28" s="12">
        <v>5</v>
      </c>
      <c r="F28" s="253">
        <v>0.19500000000000001</v>
      </c>
      <c r="G28" s="252">
        <v>0.19400000000000001</v>
      </c>
      <c r="H28" s="252">
        <v>0.193</v>
      </c>
      <c r="I28" s="252">
        <v>0.192</v>
      </c>
      <c r="J28" s="252">
        <v>0.191</v>
      </c>
      <c r="K28" s="236">
        <f t="shared" si="2"/>
        <v>0.191</v>
      </c>
      <c r="L28" s="236">
        <f t="shared" si="2"/>
        <v>0.191</v>
      </c>
      <c r="M28" s="236">
        <f t="shared" si="2"/>
        <v>0.191</v>
      </c>
      <c r="N28" s="236">
        <f t="shared" si="2"/>
        <v>0.191</v>
      </c>
      <c r="O28" s="237">
        <f t="shared" si="2"/>
        <v>0.191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68"/>
      <c r="C29" s="12"/>
      <c r="D29" s="12"/>
      <c r="E29" s="12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68" t="s">
        <v>80</v>
      </c>
      <c r="C30" s="12"/>
      <c r="D30" s="12"/>
      <c r="E30" s="12"/>
      <c r="F30" s="232">
        <f>CHOOSE(DCF!$D$4,F31,F32,F33,F34,F35)</f>
        <v>4.1000000000000002E-2</v>
      </c>
      <c r="G30" s="232">
        <f>CHOOSE(DCF!$D$4,G31,G32,G33,G34,G35)</f>
        <v>0.04</v>
      </c>
      <c r="H30" s="232">
        <f>CHOOSE(DCF!$D$4,H31,H32,H33,H34,H35)</f>
        <v>3.9E-2</v>
      </c>
      <c r="I30" s="232">
        <f>CHOOSE(DCF!$D$4,I31,I32,I33,I34,I35)</f>
        <v>3.7999999999999999E-2</v>
      </c>
      <c r="J30" s="232">
        <f>CHOOSE(DCF!$D$4,J31,J32,J33,J34,J35)</f>
        <v>3.6999999999999998E-2</v>
      </c>
      <c r="K30" s="233">
        <f>CHOOSE(DCF!$D$4,K31,K32,K33,K34,K35)</f>
        <v>3.6999999999999998E-2</v>
      </c>
      <c r="L30" s="233">
        <f>CHOOSE(DCF!$D$4,L31,L32,L33,L34,L35)</f>
        <v>3.6999999999999998E-2</v>
      </c>
      <c r="M30" s="233">
        <f>CHOOSE(DCF!$D$4,M31,M32,M33,M34,M35)</f>
        <v>3.6999999999999998E-2</v>
      </c>
      <c r="N30" s="233">
        <f>CHOOSE(DCF!$D$4,N31,N32,N33,N34,N35)</f>
        <v>3.6999999999999998E-2</v>
      </c>
      <c r="O30" s="233">
        <f>CHOOSE(DCF!$D$4,O31,O32,O33,O34,O35)</f>
        <v>3.6999999999999998E-2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68" t="s">
        <v>184</v>
      </c>
      <c r="C31" s="12"/>
      <c r="D31" s="12"/>
      <c r="E31" s="12">
        <v>1</v>
      </c>
      <c r="F31" s="251">
        <v>4.1000000000000002E-2</v>
      </c>
      <c r="G31" s="252">
        <v>0.04</v>
      </c>
      <c r="H31" s="252">
        <v>3.9E-2</v>
      </c>
      <c r="I31" s="252">
        <v>3.7999999999999999E-2</v>
      </c>
      <c r="J31" s="252">
        <v>3.6999999999999998E-2</v>
      </c>
      <c r="K31" s="234">
        <f t="shared" ref="K31:O35" si="3">+J31</f>
        <v>3.6999999999999998E-2</v>
      </c>
      <c r="L31" s="234">
        <f t="shared" si="3"/>
        <v>3.6999999999999998E-2</v>
      </c>
      <c r="M31" s="234">
        <f t="shared" si="3"/>
        <v>3.6999999999999998E-2</v>
      </c>
      <c r="N31" s="234">
        <f t="shared" si="3"/>
        <v>3.6999999999999998E-2</v>
      </c>
      <c r="O31" s="235">
        <f t="shared" si="3"/>
        <v>3.6999999999999998E-2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68" t="s">
        <v>185</v>
      </c>
      <c r="C32" s="12"/>
      <c r="D32" s="12"/>
      <c r="E32" s="12">
        <v>2</v>
      </c>
      <c r="F32" s="251">
        <v>4.1000000000000002E-2</v>
      </c>
      <c r="G32" s="252">
        <v>0.04</v>
      </c>
      <c r="H32" s="252">
        <v>3.9E-2</v>
      </c>
      <c r="I32" s="252">
        <v>3.7999999999999999E-2</v>
      </c>
      <c r="J32" s="252">
        <v>3.6999999999999998E-2</v>
      </c>
      <c r="K32" s="234">
        <f t="shared" si="3"/>
        <v>3.6999999999999998E-2</v>
      </c>
      <c r="L32" s="234">
        <f t="shared" si="3"/>
        <v>3.6999999999999998E-2</v>
      </c>
      <c r="M32" s="234">
        <f t="shared" si="3"/>
        <v>3.6999999999999998E-2</v>
      </c>
      <c r="N32" s="234">
        <f t="shared" si="3"/>
        <v>3.6999999999999998E-2</v>
      </c>
      <c r="O32" s="235">
        <f t="shared" si="3"/>
        <v>3.6999999999999998E-2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68" t="s">
        <v>186</v>
      </c>
      <c r="C33" s="12"/>
      <c r="D33" s="12"/>
      <c r="E33" s="12">
        <v>3</v>
      </c>
      <c r="F33" s="251">
        <v>3.9E-2</v>
      </c>
      <c r="G33" s="252">
        <v>3.7999999999999999E-2</v>
      </c>
      <c r="H33" s="252">
        <v>3.6999999999999998E-2</v>
      </c>
      <c r="I33" s="252">
        <v>3.5999999999999997E-2</v>
      </c>
      <c r="J33" s="252">
        <v>3.5000000000000003E-2</v>
      </c>
      <c r="K33" s="234">
        <f t="shared" si="3"/>
        <v>3.5000000000000003E-2</v>
      </c>
      <c r="L33" s="234">
        <f t="shared" si="3"/>
        <v>3.5000000000000003E-2</v>
      </c>
      <c r="M33" s="234">
        <f t="shared" si="3"/>
        <v>3.5000000000000003E-2</v>
      </c>
      <c r="N33" s="234">
        <f t="shared" si="3"/>
        <v>3.5000000000000003E-2</v>
      </c>
      <c r="O33" s="235">
        <f t="shared" si="3"/>
        <v>3.5000000000000003E-2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68" t="s">
        <v>187</v>
      </c>
      <c r="C34" s="12"/>
      <c r="D34" s="12"/>
      <c r="E34" s="12">
        <v>4</v>
      </c>
      <c r="F34" s="251">
        <v>4.2999999999999997E-2</v>
      </c>
      <c r="G34" s="252">
        <v>4.2000000000000003E-2</v>
      </c>
      <c r="H34" s="252">
        <v>4.1000000000000002E-2</v>
      </c>
      <c r="I34" s="252">
        <v>0.04</v>
      </c>
      <c r="J34" s="252">
        <v>3.9E-2</v>
      </c>
      <c r="K34" s="234">
        <f t="shared" si="3"/>
        <v>3.9E-2</v>
      </c>
      <c r="L34" s="234">
        <f t="shared" si="3"/>
        <v>3.9E-2</v>
      </c>
      <c r="M34" s="234">
        <f t="shared" si="3"/>
        <v>3.9E-2</v>
      </c>
      <c r="N34" s="234">
        <f t="shared" si="3"/>
        <v>3.9E-2</v>
      </c>
      <c r="O34" s="235">
        <f t="shared" si="3"/>
        <v>3.9E-2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68" t="s">
        <v>188</v>
      </c>
      <c r="C35" s="12"/>
      <c r="D35" s="12"/>
      <c r="E35" s="12">
        <v>5</v>
      </c>
      <c r="F35" s="253">
        <v>4.4999999999999998E-2</v>
      </c>
      <c r="G35" s="254">
        <v>4.3999999999999997E-2</v>
      </c>
      <c r="H35" s="254">
        <v>4.2999999999999997E-2</v>
      </c>
      <c r="I35" s="254">
        <v>4.2000000000000003E-2</v>
      </c>
      <c r="J35" s="254">
        <v>4.0999999999999988E-2</v>
      </c>
      <c r="K35" s="236">
        <f t="shared" si="3"/>
        <v>4.0999999999999988E-2</v>
      </c>
      <c r="L35" s="236">
        <f t="shared" si="3"/>
        <v>4.0999999999999988E-2</v>
      </c>
      <c r="M35" s="236">
        <f t="shared" si="3"/>
        <v>4.0999999999999988E-2</v>
      </c>
      <c r="N35" s="236">
        <f t="shared" si="3"/>
        <v>4.0999999999999988E-2</v>
      </c>
      <c r="O35" s="237">
        <f t="shared" si="3"/>
        <v>4.0999999999999988E-2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68"/>
      <c r="C36" s="12"/>
      <c r="D36" s="12"/>
      <c r="E36" s="1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1" t="s">
        <v>190</v>
      </c>
      <c r="C37" s="12"/>
      <c r="D37" s="12"/>
      <c r="E37" s="12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 t="s">
        <v>191</v>
      </c>
      <c r="C38" s="12"/>
      <c r="D38" s="12"/>
      <c r="E38" s="12"/>
      <c r="F38" s="232">
        <f>CHOOSE(DCF!$D$4,F39,F40,F41,F42,F43)</f>
        <v>0.05</v>
      </c>
      <c r="G38" s="232">
        <f>CHOOSE(DCF!$D$4,G39,G40,G41,G42,G43)</f>
        <v>4.8000000000000001E-2</v>
      </c>
      <c r="H38" s="232">
        <f>CHOOSE(DCF!$D$4,H39,H40,H41,H42,H43)</f>
        <v>4.5999999999999999E-2</v>
      </c>
      <c r="I38" s="232">
        <f>CHOOSE(DCF!$D$4,I39,I40,I41,I42,I43)</f>
        <v>4.3999999999999997E-2</v>
      </c>
      <c r="J38" s="232">
        <f>CHOOSE(DCF!$D$4,J39,J40,J41,J42,J43)</f>
        <v>4.2000000000000003E-2</v>
      </c>
      <c r="K38" s="233">
        <f>CHOOSE(DCF!$D$4,K39,K40,K41,K42,K43)</f>
        <v>4.2000000000000003E-2</v>
      </c>
      <c r="L38" s="233">
        <f>CHOOSE(DCF!$D$4,L39,L40,L41,L42,L43)</f>
        <v>4.2000000000000003E-2</v>
      </c>
      <c r="M38" s="233">
        <f>CHOOSE(DCF!$D$4,M39,M40,M41,M42,M43)</f>
        <v>4.2000000000000003E-2</v>
      </c>
      <c r="N38" s="233">
        <f>CHOOSE(DCF!$D$4,N39,N40,N41,N42,N43)</f>
        <v>4.2000000000000003E-2</v>
      </c>
      <c r="O38" s="233">
        <f>CHOOSE(DCF!$D$4,O39,O40,O41,O42,O43)</f>
        <v>4.2000000000000003E-2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68" t="s">
        <v>184</v>
      </c>
      <c r="C39" s="12"/>
      <c r="D39" s="12"/>
      <c r="E39" s="12">
        <v>1</v>
      </c>
      <c r="F39" s="251">
        <v>0.05</v>
      </c>
      <c r="G39" s="252">
        <v>4.8000000000000001E-2</v>
      </c>
      <c r="H39" s="252">
        <v>4.5999999999999999E-2</v>
      </c>
      <c r="I39" s="252">
        <v>4.3999999999999997E-2</v>
      </c>
      <c r="J39" s="252">
        <v>4.2000000000000003E-2</v>
      </c>
      <c r="K39" s="234">
        <f t="shared" ref="K39:O43" si="4">+J39</f>
        <v>4.2000000000000003E-2</v>
      </c>
      <c r="L39" s="234">
        <f t="shared" si="4"/>
        <v>4.2000000000000003E-2</v>
      </c>
      <c r="M39" s="234">
        <f t="shared" si="4"/>
        <v>4.2000000000000003E-2</v>
      </c>
      <c r="N39" s="234">
        <f t="shared" si="4"/>
        <v>4.2000000000000003E-2</v>
      </c>
      <c r="O39" s="235">
        <f t="shared" si="4"/>
        <v>4.2000000000000003E-2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68" t="s">
        <v>185</v>
      </c>
      <c r="C40" s="12"/>
      <c r="D40" s="12"/>
      <c r="E40" s="12">
        <v>2</v>
      </c>
      <c r="F40" s="251">
        <v>0.05</v>
      </c>
      <c r="G40" s="252">
        <v>4.8000000000000001E-2</v>
      </c>
      <c r="H40" s="252">
        <v>4.5999999999999999E-2</v>
      </c>
      <c r="I40" s="252">
        <v>4.3999999999999997E-2</v>
      </c>
      <c r="J40" s="252">
        <v>4.2000000000000003E-2</v>
      </c>
      <c r="K40" s="234">
        <f t="shared" si="4"/>
        <v>4.2000000000000003E-2</v>
      </c>
      <c r="L40" s="234">
        <f t="shared" si="4"/>
        <v>4.2000000000000003E-2</v>
      </c>
      <c r="M40" s="234">
        <f t="shared" si="4"/>
        <v>4.2000000000000003E-2</v>
      </c>
      <c r="N40" s="234">
        <f t="shared" si="4"/>
        <v>4.2000000000000003E-2</v>
      </c>
      <c r="O40" s="235">
        <f t="shared" si="4"/>
        <v>4.2000000000000003E-2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68" t="s">
        <v>186</v>
      </c>
      <c r="C41" s="12"/>
      <c r="D41" s="12"/>
      <c r="E41" s="12">
        <v>3</v>
      </c>
      <c r="F41" s="251">
        <v>0.04</v>
      </c>
      <c r="G41" s="252">
        <v>3.7999999999999999E-2</v>
      </c>
      <c r="H41" s="252">
        <v>3.5999999999999997E-2</v>
      </c>
      <c r="I41" s="252">
        <v>3.4000000000000002E-2</v>
      </c>
      <c r="J41" s="252">
        <v>3.2000000000000001E-2</v>
      </c>
      <c r="K41" s="234">
        <f t="shared" si="4"/>
        <v>3.2000000000000001E-2</v>
      </c>
      <c r="L41" s="234">
        <f t="shared" si="4"/>
        <v>3.2000000000000001E-2</v>
      </c>
      <c r="M41" s="234">
        <f t="shared" si="4"/>
        <v>3.2000000000000001E-2</v>
      </c>
      <c r="N41" s="234">
        <f t="shared" si="4"/>
        <v>3.2000000000000001E-2</v>
      </c>
      <c r="O41" s="235">
        <f t="shared" si="4"/>
        <v>3.2000000000000001E-2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68" t="s">
        <v>187</v>
      </c>
      <c r="C42" s="12"/>
      <c r="D42" s="12"/>
      <c r="E42" s="12">
        <v>4</v>
      </c>
      <c r="F42" s="251">
        <v>0.06</v>
      </c>
      <c r="G42" s="252">
        <v>5.8000000000000003E-2</v>
      </c>
      <c r="H42" s="252">
        <v>5.6000000000000001E-2</v>
      </c>
      <c r="I42" s="252">
        <v>5.3999999999999999E-2</v>
      </c>
      <c r="J42" s="252">
        <v>5.1999999999999998E-2</v>
      </c>
      <c r="K42" s="234">
        <f t="shared" si="4"/>
        <v>5.1999999999999998E-2</v>
      </c>
      <c r="L42" s="234">
        <f t="shared" si="4"/>
        <v>5.1999999999999998E-2</v>
      </c>
      <c r="M42" s="234">
        <f t="shared" si="4"/>
        <v>5.1999999999999998E-2</v>
      </c>
      <c r="N42" s="234">
        <f t="shared" si="4"/>
        <v>5.1999999999999998E-2</v>
      </c>
      <c r="O42" s="235">
        <f t="shared" si="4"/>
        <v>5.1999999999999998E-2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68" t="s">
        <v>188</v>
      </c>
      <c r="C43" s="12"/>
      <c r="D43" s="12"/>
      <c r="E43" s="239">
        <v>5</v>
      </c>
      <c r="F43" s="253">
        <v>7.0000000000000007E-2</v>
      </c>
      <c r="G43" s="254">
        <v>6.8000000000000005E-2</v>
      </c>
      <c r="H43" s="254">
        <v>6.6000000000000003E-2</v>
      </c>
      <c r="I43" s="254">
        <v>6.4000000000000001E-2</v>
      </c>
      <c r="J43" s="254">
        <v>6.2E-2</v>
      </c>
      <c r="K43" s="236">
        <f t="shared" si="4"/>
        <v>6.2E-2</v>
      </c>
      <c r="L43" s="236">
        <f t="shared" si="4"/>
        <v>6.2E-2</v>
      </c>
      <c r="M43" s="236">
        <f t="shared" si="4"/>
        <v>6.2E-2</v>
      </c>
      <c r="N43" s="236">
        <f t="shared" si="4"/>
        <v>6.2E-2</v>
      </c>
      <c r="O43" s="237">
        <f t="shared" si="4"/>
        <v>6.2E-2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B2:O2"/>
    <mergeCell ref="F4:O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5" width="9.7109375" style="261" customWidth="1"/>
    <col min="6" max="15" width="12.7109375" style="261" customWidth="1"/>
    <col min="16" max="26" width="8" style="261" customWidth="1"/>
  </cols>
  <sheetData>
    <row r="1" spans="1:26" ht="3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5">
      <c r="A2" s="11"/>
      <c r="B2" s="310" t="s">
        <v>192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2.75" customHeight="1" x14ac:dyDescent="0.2">
      <c r="A3" s="11"/>
      <c r="B3" s="68"/>
      <c r="C3" s="11"/>
      <c r="D3" s="11"/>
      <c r="E3" s="11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customHeight="1" x14ac:dyDescent="0.2">
      <c r="A4" s="11"/>
      <c r="B4" s="11"/>
      <c r="C4" s="11"/>
      <c r="D4" s="11"/>
      <c r="E4" s="11"/>
      <c r="F4" s="307" t="s">
        <v>24</v>
      </c>
      <c r="G4" s="303"/>
      <c r="H4" s="303"/>
      <c r="I4" s="303"/>
      <c r="J4" s="303"/>
      <c r="K4" s="303"/>
      <c r="L4" s="303"/>
      <c r="M4" s="303"/>
      <c r="N4" s="303"/>
      <c r="O4" s="303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11"/>
      <c r="B5" s="68"/>
      <c r="C5" s="11"/>
      <c r="D5" s="11"/>
      <c r="E5" s="11"/>
      <c r="F5" s="291">
        <v>1</v>
      </c>
      <c r="G5" s="291">
        <v>2</v>
      </c>
      <c r="H5" s="291">
        <v>3</v>
      </c>
      <c r="I5" s="291">
        <v>4</v>
      </c>
      <c r="J5" s="291">
        <v>5</v>
      </c>
      <c r="K5" s="291">
        <v>6</v>
      </c>
      <c r="L5" s="291">
        <v>7</v>
      </c>
      <c r="M5" s="291">
        <v>8</v>
      </c>
      <c r="N5" s="291">
        <v>9</v>
      </c>
      <c r="O5" s="291">
        <v>10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1"/>
      <c r="B6" s="68"/>
      <c r="C6" s="11"/>
      <c r="D6" s="11"/>
      <c r="E6" s="11"/>
      <c r="F6" s="263" t="str">
        <f>'A1'!F6</f>
        <v>2026</v>
      </c>
      <c r="G6" s="263" t="str">
        <f>'A1'!G6</f>
        <v>2027</v>
      </c>
      <c r="H6" s="263" t="str">
        <f>'A1'!H6</f>
        <v>2028</v>
      </c>
      <c r="I6" s="263" t="str">
        <f>'A1'!I6</f>
        <v>2029</v>
      </c>
      <c r="J6" s="263" t="str">
        <f>'A1'!J6</f>
        <v>2030</v>
      </c>
      <c r="K6" s="263" t="str">
        <f>'A1'!K6</f>
        <v>2014</v>
      </c>
      <c r="L6" s="263" t="str">
        <f>'A1'!L6</f>
        <v>2015</v>
      </c>
      <c r="M6" s="263" t="str">
        <f>'A1'!M6</f>
        <v>2016</v>
      </c>
      <c r="N6" s="263" t="str">
        <f>'A1'!N6</f>
        <v>2017</v>
      </c>
      <c r="O6" s="263" t="str">
        <f>'A1'!O6</f>
        <v>2018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11"/>
      <c r="B7" s="68"/>
      <c r="C7" s="11"/>
      <c r="D7" s="11"/>
      <c r="E7" s="11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11"/>
      <c r="B8" s="16" t="s">
        <v>114</v>
      </c>
      <c r="C8" s="11"/>
      <c r="D8" s="11"/>
      <c r="E8" s="11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1"/>
      <c r="B9" s="12" t="s">
        <v>193</v>
      </c>
      <c r="C9" s="11"/>
      <c r="D9" s="11"/>
      <c r="E9" s="11"/>
      <c r="F9" s="184">
        <f>CHOOSE(DCF!$D$4,F10,F11,F12,F13,F14)</f>
        <v>74.975389476568452</v>
      </c>
      <c r="G9" s="184">
        <f>CHOOSE(DCF!$D$4,G10,G11,G12,G13,G14)</f>
        <v>74.975389476568452</v>
      </c>
      <c r="H9" s="184">
        <f>CHOOSE(DCF!$D$4,H10,H11,H12,H13,H14)</f>
        <v>74.975389476568452</v>
      </c>
      <c r="I9" s="184">
        <f>CHOOSE(DCF!$D$4,I10,I11,I12,I13,I14)</f>
        <v>74.975389476568452</v>
      </c>
      <c r="J9" s="184">
        <f>CHOOSE(DCF!$D$4,J10,J11,J12,J13,J14)</f>
        <v>74.975389476568452</v>
      </c>
      <c r="K9" s="184">
        <f>CHOOSE(DCF!$D$4,K10,K11,K12,K13,K14)</f>
        <v>74.975389476568452</v>
      </c>
      <c r="L9" s="184">
        <f>CHOOSE(DCF!$D$4,L10,L11,L12,L13,L14)</f>
        <v>74.975389476568452</v>
      </c>
      <c r="M9" s="184">
        <f>CHOOSE(DCF!$D$4,M10,M11,M12,M13,M14)</f>
        <v>74.975389476568452</v>
      </c>
      <c r="N9" s="184">
        <f>CHOOSE(DCF!$D$4,N10,N11,N12,N13,N14)</f>
        <v>74.975389476568452</v>
      </c>
      <c r="O9" s="184">
        <f>CHOOSE(DCF!$D$4,O10,O11,O12,O13,O14)</f>
        <v>74.975389476568452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1"/>
      <c r="B10" s="68" t="s">
        <v>184</v>
      </c>
      <c r="C10" s="11"/>
      <c r="D10" s="11"/>
      <c r="E10" s="12">
        <v>1</v>
      </c>
      <c r="F10" s="255">
        <v>74.975389476568452</v>
      </c>
      <c r="G10" s="256">
        <v>74.975389476568452</v>
      </c>
      <c r="H10" s="256">
        <v>74.975389476568452</v>
      </c>
      <c r="I10" s="256">
        <v>74.975389476568452</v>
      </c>
      <c r="J10" s="256">
        <v>74.975389476568452</v>
      </c>
      <c r="K10" s="203">
        <f t="shared" ref="K10:O14" si="0">+J10</f>
        <v>74.975389476568452</v>
      </c>
      <c r="L10" s="203">
        <f t="shared" si="0"/>
        <v>74.975389476568452</v>
      </c>
      <c r="M10" s="203">
        <f t="shared" si="0"/>
        <v>74.975389476568452</v>
      </c>
      <c r="N10" s="203">
        <f t="shared" si="0"/>
        <v>74.975389476568452</v>
      </c>
      <c r="O10" s="205">
        <f t="shared" si="0"/>
        <v>74.975389476568452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1"/>
      <c r="B11" s="68" t="s">
        <v>185</v>
      </c>
      <c r="C11" s="11"/>
      <c r="D11" s="11"/>
      <c r="E11" s="12">
        <v>2</v>
      </c>
      <c r="F11" s="257">
        <v>77.224651160865506</v>
      </c>
      <c r="G11" s="258">
        <v>77.224651160865506</v>
      </c>
      <c r="H11" s="258">
        <v>77.224651160865506</v>
      </c>
      <c r="I11" s="258">
        <v>77.224651160865506</v>
      </c>
      <c r="J11" s="258">
        <v>77.224651160865506</v>
      </c>
      <c r="K11" s="207">
        <f t="shared" si="0"/>
        <v>77.224651160865506</v>
      </c>
      <c r="L11" s="207">
        <f t="shared" si="0"/>
        <v>77.224651160865506</v>
      </c>
      <c r="M11" s="207">
        <f t="shared" si="0"/>
        <v>77.224651160865506</v>
      </c>
      <c r="N11" s="207">
        <f t="shared" si="0"/>
        <v>77.224651160865506</v>
      </c>
      <c r="O11" s="209">
        <f t="shared" si="0"/>
        <v>77.224651160865506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1"/>
      <c r="B12" s="68" t="s">
        <v>186</v>
      </c>
      <c r="C12" s="11"/>
      <c r="D12" s="11"/>
      <c r="E12" s="12">
        <v>3</v>
      </c>
      <c r="F12" s="257">
        <v>73.475881687037088</v>
      </c>
      <c r="G12" s="258">
        <v>73.475881687037088</v>
      </c>
      <c r="H12" s="258">
        <v>73.475881687037088</v>
      </c>
      <c r="I12" s="258">
        <v>73.475881687037088</v>
      </c>
      <c r="J12" s="258">
        <v>73.475881687037088</v>
      </c>
      <c r="K12" s="207">
        <f t="shared" si="0"/>
        <v>73.475881687037088</v>
      </c>
      <c r="L12" s="207">
        <f t="shared" si="0"/>
        <v>73.475881687037088</v>
      </c>
      <c r="M12" s="207">
        <f t="shared" si="0"/>
        <v>73.475881687037088</v>
      </c>
      <c r="N12" s="207">
        <f t="shared" si="0"/>
        <v>73.475881687037088</v>
      </c>
      <c r="O12" s="209">
        <f t="shared" si="0"/>
        <v>73.475881687037088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1"/>
      <c r="B13" s="68" t="s">
        <v>187</v>
      </c>
      <c r="C13" s="11"/>
      <c r="D13" s="11"/>
      <c r="E13" s="12">
        <v>4</v>
      </c>
      <c r="F13" s="257">
        <v>80.973420634693937</v>
      </c>
      <c r="G13" s="258">
        <v>80.973420634693937</v>
      </c>
      <c r="H13" s="258">
        <v>80.973420634693937</v>
      </c>
      <c r="I13" s="258">
        <v>80.973420634693937</v>
      </c>
      <c r="J13" s="258">
        <v>80.973420634693937</v>
      </c>
      <c r="K13" s="207">
        <f t="shared" si="0"/>
        <v>80.973420634693937</v>
      </c>
      <c r="L13" s="207">
        <f t="shared" si="0"/>
        <v>80.973420634693937</v>
      </c>
      <c r="M13" s="207">
        <f t="shared" si="0"/>
        <v>80.973420634693937</v>
      </c>
      <c r="N13" s="207">
        <f t="shared" si="0"/>
        <v>80.973420634693937</v>
      </c>
      <c r="O13" s="209">
        <f t="shared" si="0"/>
        <v>80.973420634693937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1"/>
      <c r="B14" s="68" t="s">
        <v>188</v>
      </c>
      <c r="C14" s="11"/>
      <c r="D14" s="11"/>
      <c r="E14" s="12">
        <v>5</v>
      </c>
      <c r="F14" s="259">
        <v>86.221697898053719</v>
      </c>
      <c r="G14" s="260">
        <v>86.221697898053719</v>
      </c>
      <c r="H14" s="260">
        <v>86.221697898053719</v>
      </c>
      <c r="I14" s="260">
        <v>86.221697898053719</v>
      </c>
      <c r="J14" s="260">
        <v>86.221697898053719</v>
      </c>
      <c r="K14" s="241">
        <f t="shared" si="0"/>
        <v>86.221697898053719</v>
      </c>
      <c r="L14" s="241">
        <f t="shared" si="0"/>
        <v>86.221697898053719</v>
      </c>
      <c r="M14" s="241">
        <f t="shared" si="0"/>
        <v>86.221697898053719</v>
      </c>
      <c r="N14" s="241">
        <f t="shared" si="0"/>
        <v>86.221697898053719</v>
      </c>
      <c r="O14" s="242">
        <f t="shared" si="0"/>
        <v>86.221697898053719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1"/>
      <c r="B15" s="68"/>
      <c r="C15" s="11"/>
      <c r="D15" s="11"/>
      <c r="E15" s="12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1"/>
      <c r="B16" s="12" t="s">
        <v>194</v>
      </c>
      <c r="C16" s="11"/>
      <c r="D16" s="11"/>
      <c r="E16" s="12"/>
      <c r="F16" s="244">
        <f>CHOOSE(DCF!$D$4,F17,F18,F19,F20,F21)</f>
        <v>18.106019939575301</v>
      </c>
      <c r="G16" s="244">
        <f>CHOOSE(DCF!$D$4,G17,G18,G19,G20,G21)</f>
        <v>18.106019939575301</v>
      </c>
      <c r="H16" s="244">
        <f>CHOOSE(DCF!$D$4,H17,H18,H19,H20,H21)</f>
        <v>18.106019939575301</v>
      </c>
      <c r="I16" s="244">
        <f>CHOOSE(DCF!$D$4,I17,I18,I19,I20,I21)</f>
        <v>18.106019939575301</v>
      </c>
      <c r="J16" s="244">
        <f>CHOOSE(DCF!$D$4,J17,J18,J19,J20,J21)</f>
        <v>18.106019939575301</v>
      </c>
      <c r="K16" s="244">
        <f>CHOOSE(DCF!$D$4,K17,K18,K19,K20,K21)</f>
        <v>18.106019939575301</v>
      </c>
      <c r="L16" s="244">
        <f>CHOOSE(DCF!$D$4,L17,L18,L19,L20,L21)</f>
        <v>18.106019939575301</v>
      </c>
      <c r="M16" s="244">
        <f>CHOOSE(DCF!$D$4,M17,M18,M19,M20,M21)</f>
        <v>18.106019939575301</v>
      </c>
      <c r="N16" s="244">
        <f>CHOOSE(DCF!$D$4,N17,N18,N19,N20,N21)</f>
        <v>18.106019939575301</v>
      </c>
      <c r="O16" s="244">
        <f>CHOOSE(DCF!$D$4,O17,O18,O19,O20,O21)</f>
        <v>18.106019939575301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1"/>
      <c r="B17" s="68" t="s">
        <v>184</v>
      </c>
      <c r="C17" s="11"/>
      <c r="D17" s="11"/>
      <c r="E17" s="12">
        <v>1</v>
      </c>
      <c r="F17" s="255">
        <v>18.106019939575301</v>
      </c>
      <c r="G17" s="256">
        <v>18.106019939575301</v>
      </c>
      <c r="H17" s="256">
        <v>18.106019939575301</v>
      </c>
      <c r="I17" s="256">
        <v>18.106019939575301</v>
      </c>
      <c r="J17" s="256">
        <v>18.106019939575301</v>
      </c>
      <c r="K17" s="203">
        <f t="shared" ref="K17:O21" si="1">+J17</f>
        <v>18.106019939575301</v>
      </c>
      <c r="L17" s="203">
        <f t="shared" si="1"/>
        <v>18.106019939575301</v>
      </c>
      <c r="M17" s="203">
        <f t="shared" si="1"/>
        <v>18.106019939575301</v>
      </c>
      <c r="N17" s="203">
        <f t="shared" si="1"/>
        <v>18.106019939575301</v>
      </c>
      <c r="O17" s="205">
        <f t="shared" si="1"/>
        <v>18.106019939575301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11"/>
      <c r="B18" s="68" t="s">
        <v>185</v>
      </c>
      <c r="C18" s="11"/>
      <c r="D18" s="11"/>
      <c r="E18" s="12">
        <v>2</v>
      </c>
      <c r="F18" s="257">
        <v>18.64920053776256</v>
      </c>
      <c r="G18" s="258">
        <v>18.64920053776256</v>
      </c>
      <c r="H18" s="258">
        <v>18.64920053776256</v>
      </c>
      <c r="I18" s="258">
        <v>18.64920053776256</v>
      </c>
      <c r="J18" s="258">
        <v>18.64920053776256</v>
      </c>
      <c r="K18" s="207">
        <f t="shared" si="1"/>
        <v>18.64920053776256</v>
      </c>
      <c r="L18" s="207">
        <f t="shared" si="1"/>
        <v>18.64920053776256</v>
      </c>
      <c r="M18" s="207">
        <f t="shared" si="1"/>
        <v>18.64920053776256</v>
      </c>
      <c r="N18" s="207">
        <f t="shared" si="1"/>
        <v>18.64920053776256</v>
      </c>
      <c r="O18" s="209">
        <f t="shared" si="1"/>
        <v>18.64920053776256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">
      <c r="A19" s="11"/>
      <c r="B19" s="68" t="s">
        <v>186</v>
      </c>
      <c r="C19" s="11"/>
      <c r="D19" s="11"/>
      <c r="E19" s="12">
        <v>3</v>
      </c>
      <c r="F19" s="257">
        <v>17.74389954078379</v>
      </c>
      <c r="G19" s="258">
        <v>17.74389954078379</v>
      </c>
      <c r="H19" s="258">
        <v>17.74389954078379</v>
      </c>
      <c r="I19" s="258">
        <v>17.74389954078379</v>
      </c>
      <c r="J19" s="258">
        <v>17.74389954078379</v>
      </c>
      <c r="K19" s="207">
        <f t="shared" si="1"/>
        <v>17.74389954078379</v>
      </c>
      <c r="L19" s="207">
        <f t="shared" si="1"/>
        <v>17.74389954078379</v>
      </c>
      <c r="M19" s="207">
        <f t="shared" si="1"/>
        <v>17.74389954078379</v>
      </c>
      <c r="N19" s="207">
        <f t="shared" si="1"/>
        <v>17.74389954078379</v>
      </c>
      <c r="O19" s="209">
        <f t="shared" si="1"/>
        <v>17.74389954078379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11"/>
      <c r="B20" s="68" t="s">
        <v>187</v>
      </c>
      <c r="C20" s="11"/>
      <c r="D20" s="11"/>
      <c r="E20" s="12">
        <v>4</v>
      </c>
      <c r="F20" s="257">
        <v>19.55450153474133</v>
      </c>
      <c r="G20" s="258">
        <v>19.55450153474133</v>
      </c>
      <c r="H20" s="258">
        <v>19.55450153474133</v>
      </c>
      <c r="I20" s="258">
        <v>19.55450153474133</v>
      </c>
      <c r="J20" s="258">
        <v>19.55450153474133</v>
      </c>
      <c r="K20" s="207">
        <f t="shared" si="1"/>
        <v>19.55450153474133</v>
      </c>
      <c r="L20" s="207">
        <f t="shared" si="1"/>
        <v>19.55450153474133</v>
      </c>
      <c r="M20" s="207">
        <f t="shared" si="1"/>
        <v>19.55450153474133</v>
      </c>
      <c r="N20" s="207">
        <f t="shared" si="1"/>
        <v>19.55450153474133</v>
      </c>
      <c r="O20" s="209">
        <f t="shared" si="1"/>
        <v>19.55450153474133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1"/>
      <c r="B21" s="68" t="s">
        <v>188</v>
      </c>
      <c r="C21" s="11"/>
      <c r="D21" s="11"/>
      <c r="E21" s="12">
        <v>5</v>
      </c>
      <c r="F21" s="259">
        <v>20.82192293051159</v>
      </c>
      <c r="G21" s="260">
        <v>20.82192293051159</v>
      </c>
      <c r="H21" s="260">
        <v>20.82192293051159</v>
      </c>
      <c r="I21" s="260">
        <v>20.82192293051159</v>
      </c>
      <c r="J21" s="260">
        <v>20.82192293051159</v>
      </c>
      <c r="K21" s="241">
        <f t="shared" si="1"/>
        <v>20.82192293051159</v>
      </c>
      <c r="L21" s="241">
        <f t="shared" si="1"/>
        <v>20.82192293051159</v>
      </c>
      <c r="M21" s="241">
        <f t="shared" si="1"/>
        <v>20.82192293051159</v>
      </c>
      <c r="N21" s="241">
        <f t="shared" si="1"/>
        <v>20.82192293051159</v>
      </c>
      <c r="O21" s="242">
        <f t="shared" si="1"/>
        <v>20.82192293051159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1"/>
      <c r="B22" s="68"/>
      <c r="C22" s="11"/>
      <c r="D22" s="11"/>
      <c r="E22" s="12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1"/>
      <c r="B23" s="12" t="s">
        <v>195</v>
      </c>
      <c r="C23" s="11"/>
      <c r="D23" s="11"/>
      <c r="E23" s="12"/>
      <c r="F23" s="232">
        <f>CHOOSE(DCF!$D$4,F24,F25,F26,F27,F28)</f>
        <v>0.44242326890002298</v>
      </c>
      <c r="G23" s="232">
        <f>CHOOSE(DCF!$D$4,G24,G25,G26,G27,G28)</f>
        <v>0.44242326890002298</v>
      </c>
      <c r="H23" s="232">
        <f>CHOOSE(DCF!$D$4,H24,H25,H26,H27,H28)</f>
        <v>0.44242326890002298</v>
      </c>
      <c r="I23" s="232">
        <f>CHOOSE(DCF!$D$4,I24,I25,I26,I27,I28)</f>
        <v>0.44242326890002298</v>
      </c>
      <c r="J23" s="232">
        <f>CHOOSE(DCF!$D$4,J24,J25,J26,J27,J28)</f>
        <v>0.44242326890002298</v>
      </c>
      <c r="K23" s="233">
        <f>CHOOSE(DCF!$D$4,K24,K25,K26,K27,K28)</f>
        <v>0.44242326890002298</v>
      </c>
      <c r="L23" s="233">
        <f>CHOOSE(DCF!$D$4,L24,L25,L26,L27,L28)</f>
        <v>0.44242326890002298</v>
      </c>
      <c r="M23" s="233">
        <f>CHOOSE(DCF!$D$4,M24,M25,M26,M27,M28)</f>
        <v>0.44242326890002298</v>
      </c>
      <c r="N23" s="233">
        <f>CHOOSE(DCF!$D$4,N24,N25,N26,N27,N28)</f>
        <v>0.44242326890002298</v>
      </c>
      <c r="O23" s="233">
        <f>CHOOSE(DCF!$D$4,O24,O25,O26,O27,O28)</f>
        <v>0.44242326890002298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1"/>
      <c r="B24" s="68" t="s">
        <v>184</v>
      </c>
      <c r="C24" s="11"/>
      <c r="D24" s="11"/>
      <c r="E24" s="12">
        <v>1</v>
      </c>
      <c r="F24" s="251">
        <v>0.44242326890002298</v>
      </c>
      <c r="G24" s="252">
        <v>0.44242326890002298</v>
      </c>
      <c r="H24" s="252">
        <v>0.44242326890002298</v>
      </c>
      <c r="I24" s="252">
        <v>0.44242326890002298</v>
      </c>
      <c r="J24" s="252">
        <v>0.44242326890002298</v>
      </c>
      <c r="K24" s="234">
        <f t="shared" ref="K24:O28" si="2">+J24</f>
        <v>0.44242326890002298</v>
      </c>
      <c r="L24" s="234">
        <f t="shared" si="2"/>
        <v>0.44242326890002298</v>
      </c>
      <c r="M24" s="234">
        <f t="shared" si="2"/>
        <v>0.44242326890002298</v>
      </c>
      <c r="N24" s="234">
        <f t="shared" si="2"/>
        <v>0.44242326890002298</v>
      </c>
      <c r="O24" s="235">
        <f t="shared" si="2"/>
        <v>0.44242326890002298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1"/>
      <c r="B25" s="68" t="s">
        <v>185</v>
      </c>
      <c r="C25" s="11"/>
      <c r="D25" s="11"/>
      <c r="E25" s="12">
        <v>2</v>
      </c>
      <c r="F25" s="251">
        <v>0.45569596696702369</v>
      </c>
      <c r="G25" s="252">
        <v>0.45569596696702369</v>
      </c>
      <c r="H25" s="252">
        <v>0.45569596696702369</v>
      </c>
      <c r="I25" s="252">
        <v>0.45569596696702369</v>
      </c>
      <c r="J25" s="252">
        <v>0.45569596696702369</v>
      </c>
      <c r="K25" s="234">
        <f t="shared" si="2"/>
        <v>0.45569596696702369</v>
      </c>
      <c r="L25" s="234">
        <f t="shared" si="2"/>
        <v>0.45569596696702369</v>
      </c>
      <c r="M25" s="234">
        <f t="shared" si="2"/>
        <v>0.45569596696702369</v>
      </c>
      <c r="N25" s="234">
        <f t="shared" si="2"/>
        <v>0.45569596696702369</v>
      </c>
      <c r="O25" s="235">
        <f t="shared" si="2"/>
        <v>0.45569596696702369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1"/>
      <c r="B26" s="68" t="s">
        <v>186</v>
      </c>
      <c r="C26" s="11"/>
      <c r="D26" s="11"/>
      <c r="E26" s="12">
        <v>3</v>
      </c>
      <c r="F26" s="251">
        <v>0.43357480352202249</v>
      </c>
      <c r="G26" s="252">
        <v>0.43357480352202249</v>
      </c>
      <c r="H26" s="252">
        <v>0.43357480352202249</v>
      </c>
      <c r="I26" s="252">
        <v>0.43357480352202249</v>
      </c>
      <c r="J26" s="252">
        <v>0.43357480352202249</v>
      </c>
      <c r="K26" s="234">
        <f t="shared" si="2"/>
        <v>0.43357480352202249</v>
      </c>
      <c r="L26" s="234">
        <f t="shared" si="2"/>
        <v>0.43357480352202249</v>
      </c>
      <c r="M26" s="234">
        <f t="shared" si="2"/>
        <v>0.43357480352202249</v>
      </c>
      <c r="N26" s="234">
        <f t="shared" si="2"/>
        <v>0.43357480352202249</v>
      </c>
      <c r="O26" s="235">
        <f t="shared" si="2"/>
        <v>0.43357480352202249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1"/>
      <c r="B27" s="68" t="s">
        <v>187</v>
      </c>
      <c r="C27" s="11"/>
      <c r="D27" s="11"/>
      <c r="E27" s="12">
        <v>4</v>
      </c>
      <c r="F27" s="251">
        <v>0.47781713041202489</v>
      </c>
      <c r="G27" s="252">
        <v>0.47781713041202489</v>
      </c>
      <c r="H27" s="252">
        <v>0.47781713041202489</v>
      </c>
      <c r="I27" s="252">
        <v>0.47781713041202489</v>
      </c>
      <c r="J27" s="252">
        <v>0.47781713041202489</v>
      </c>
      <c r="K27" s="234">
        <f t="shared" si="2"/>
        <v>0.47781713041202489</v>
      </c>
      <c r="L27" s="234">
        <f t="shared" si="2"/>
        <v>0.47781713041202489</v>
      </c>
      <c r="M27" s="234">
        <f t="shared" si="2"/>
        <v>0.47781713041202489</v>
      </c>
      <c r="N27" s="234">
        <f t="shared" si="2"/>
        <v>0.47781713041202489</v>
      </c>
      <c r="O27" s="235">
        <f t="shared" si="2"/>
        <v>0.47781713041202489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1"/>
      <c r="B28" s="68" t="s">
        <v>188</v>
      </c>
      <c r="C28" s="11"/>
      <c r="D28" s="11"/>
      <c r="E28" s="12">
        <v>5</v>
      </c>
      <c r="F28" s="253">
        <v>0.50878675923502648</v>
      </c>
      <c r="G28" s="254">
        <v>0.50878675923502648</v>
      </c>
      <c r="H28" s="254">
        <v>0.50878675923502648</v>
      </c>
      <c r="I28" s="254">
        <v>0.50878675923502648</v>
      </c>
      <c r="J28" s="254">
        <v>0.50878675923502648</v>
      </c>
      <c r="K28" s="236">
        <f t="shared" si="2"/>
        <v>0.50878675923502648</v>
      </c>
      <c r="L28" s="236">
        <f t="shared" si="2"/>
        <v>0.50878675923502648</v>
      </c>
      <c r="M28" s="236">
        <f t="shared" si="2"/>
        <v>0.50878675923502648</v>
      </c>
      <c r="N28" s="236">
        <f t="shared" si="2"/>
        <v>0.50878675923502648</v>
      </c>
      <c r="O28" s="237">
        <f t="shared" si="2"/>
        <v>0.50878675923502648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1"/>
      <c r="B29" s="68"/>
      <c r="C29" s="11"/>
      <c r="D29" s="11"/>
      <c r="E29" s="12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1"/>
      <c r="B30" s="16" t="s">
        <v>119</v>
      </c>
      <c r="C30" s="11"/>
      <c r="D30" s="11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1"/>
      <c r="B31" s="12" t="s">
        <v>196</v>
      </c>
      <c r="C31" s="11"/>
      <c r="D31" s="11"/>
      <c r="E31" s="12"/>
      <c r="F31" s="244">
        <f>CHOOSE(DCF!$D$4,F32,F33,F34,F35,F36)</f>
        <v>31.668897409301572</v>
      </c>
      <c r="G31" s="244">
        <f>CHOOSE(DCF!$D$4,G32,G33,G34,G35,G36)</f>
        <v>31.668897409301572</v>
      </c>
      <c r="H31" s="244">
        <f>CHOOSE(DCF!$D$4,H32,H33,H34,H35,H36)</f>
        <v>31.668897409301572</v>
      </c>
      <c r="I31" s="244">
        <f>CHOOSE(DCF!$D$4,I32,I33,I34,I35,I36)</f>
        <v>31.668897409301572</v>
      </c>
      <c r="J31" s="244">
        <f>CHOOSE(DCF!$D$4,J32,J33,J34,J35,J36)</f>
        <v>31.668897409301572</v>
      </c>
      <c r="K31" s="244">
        <f>CHOOSE(DCF!$D$4,K32,K33,K34,K35,K36)</f>
        <v>31.668897409301572</v>
      </c>
      <c r="L31" s="244">
        <f>CHOOSE(DCF!$D$4,L32,L33,L34,L35,L36)</f>
        <v>31.668897409301572</v>
      </c>
      <c r="M31" s="244">
        <f>CHOOSE(DCF!$D$4,M32,M33,M34,M35,M36)</f>
        <v>31.668897409301572</v>
      </c>
      <c r="N31" s="244">
        <f>CHOOSE(DCF!$D$4,N32,N33,N34,N35,N36)</f>
        <v>31.668897409301572</v>
      </c>
      <c r="O31" s="244">
        <f>CHOOSE(DCF!$D$4,O32,O33,O34,O35,O36)</f>
        <v>31.668897409301572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1"/>
      <c r="B32" s="68" t="s">
        <v>184</v>
      </c>
      <c r="C32" s="11"/>
      <c r="D32" s="11"/>
      <c r="E32" s="12">
        <v>1</v>
      </c>
      <c r="F32" s="255">
        <v>31.668897409301572</v>
      </c>
      <c r="G32" s="256">
        <v>31.668897409301572</v>
      </c>
      <c r="H32" s="256">
        <v>31.668897409301572</v>
      </c>
      <c r="I32" s="256">
        <v>31.668897409301572</v>
      </c>
      <c r="J32" s="256">
        <v>31.668897409301572</v>
      </c>
      <c r="K32" s="203">
        <f t="shared" ref="K32:O36" si="3">+J32</f>
        <v>31.668897409301572</v>
      </c>
      <c r="L32" s="203">
        <f t="shared" si="3"/>
        <v>31.668897409301572</v>
      </c>
      <c r="M32" s="203">
        <f t="shared" si="3"/>
        <v>31.668897409301572</v>
      </c>
      <c r="N32" s="203">
        <f t="shared" si="3"/>
        <v>31.668897409301572</v>
      </c>
      <c r="O32" s="205">
        <f t="shared" si="3"/>
        <v>31.668897409301572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1"/>
      <c r="B33" s="68" t="s">
        <v>185</v>
      </c>
      <c r="C33" s="11"/>
      <c r="D33" s="11"/>
      <c r="E33" s="12">
        <v>2</v>
      </c>
      <c r="F33" s="257">
        <v>32.618964331580607</v>
      </c>
      <c r="G33" s="258">
        <v>32.618964331580607</v>
      </c>
      <c r="H33" s="258">
        <v>32.618964331580607</v>
      </c>
      <c r="I33" s="258">
        <v>32.618964331580607</v>
      </c>
      <c r="J33" s="258">
        <v>32.618964331580607</v>
      </c>
      <c r="K33" s="207">
        <f t="shared" si="3"/>
        <v>32.618964331580607</v>
      </c>
      <c r="L33" s="207">
        <f t="shared" si="3"/>
        <v>32.618964331580607</v>
      </c>
      <c r="M33" s="207">
        <f t="shared" si="3"/>
        <v>32.618964331580607</v>
      </c>
      <c r="N33" s="207">
        <f t="shared" si="3"/>
        <v>32.618964331580607</v>
      </c>
      <c r="O33" s="209">
        <f t="shared" si="3"/>
        <v>32.618964331580607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1"/>
      <c r="B34" s="68" t="s">
        <v>186</v>
      </c>
      <c r="C34" s="11"/>
      <c r="D34" s="11"/>
      <c r="E34" s="12">
        <v>3</v>
      </c>
      <c r="F34" s="257">
        <v>31.035519461115541</v>
      </c>
      <c r="G34" s="258">
        <v>31.035519461115541</v>
      </c>
      <c r="H34" s="258">
        <v>31.035519461115541</v>
      </c>
      <c r="I34" s="258">
        <v>31.035519461115541</v>
      </c>
      <c r="J34" s="258">
        <v>31.035519461115541</v>
      </c>
      <c r="K34" s="207">
        <f t="shared" si="3"/>
        <v>31.035519461115541</v>
      </c>
      <c r="L34" s="207">
        <f t="shared" si="3"/>
        <v>31.035519461115541</v>
      </c>
      <c r="M34" s="207">
        <f t="shared" si="3"/>
        <v>31.035519461115541</v>
      </c>
      <c r="N34" s="207">
        <f t="shared" si="3"/>
        <v>31.035519461115541</v>
      </c>
      <c r="O34" s="209">
        <f t="shared" si="3"/>
        <v>31.035519461115541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1"/>
      <c r="B35" s="68" t="s">
        <v>187</v>
      </c>
      <c r="C35" s="11"/>
      <c r="D35" s="11"/>
      <c r="E35" s="12">
        <v>4</v>
      </c>
      <c r="F35" s="257">
        <v>34.202409202045693</v>
      </c>
      <c r="G35" s="258">
        <v>34.202409202045693</v>
      </c>
      <c r="H35" s="258">
        <v>34.202409202045693</v>
      </c>
      <c r="I35" s="258">
        <v>34.202409202045693</v>
      </c>
      <c r="J35" s="258">
        <v>34.202409202045693</v>
      </c>
      <c r="K35" s="207">
        <f t="shared" si="3"/>
        <v>34.202409202045693</v>
      </c>
      <c r="L35" s="207">
        <f t="shared" si="3"/>
        <v>34.202409202045693</v>
      </c>
      <c r="M35" s="207">
        <f t="shared" si="3"/>
        <v>34.202409202045693</v>
      </c>
      <c r="N35" s="207">
        <f t="shared" si="3"/>
        <v>34.202409202045693</v>
      </c>
      <c r="O35" s="209">
        <f t="shared" si="3"/>
        <v>34.202409202045693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1"/>
      <c r="B36" s="68" t="s">
        <v>188</v>
      </c>
      <c r="C36" s="11"/>
      <c r="D36" s="11"/>
      <c r="E36" s="12">
        <v>5</v>
      </c>
      <c r="F36" s="259">
        <v>36.419232020696803</v>
      </c>
      <c r="G36" s="260">
        <v>36.419232020696803</v>
      </c>
      <c r="H36" s="260">
        <v>36.419232020696803</v>
      </c>
      <c r="I36" s="260">
        <v>36.419232020696803</v>
      </c>
      <c r="J36" s="260">
        <v>36.419232020696803</v>
      </c>
      <c r="K36" s="241">
        <f t="shared" si="3"/>
        <v>36.419232020696803</v>
      </c>
      <c r="L36" s="241">
        <f t="shared" si="3"/>
        <v>36.419232020696803</v>
      </c>
      <c r="M36" s="241">
        <f t="shared" si="3"/>
        <v>36.419232020696803</v>
      </c>
      <c r="N36" s="241">
        <f t="shared" si="3"/>
        <v>36.419232020696803</v>
      </c>
      <c r="O36" s="242">
        <f t="shared" si="3"/>
        <v>36.419232020696803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1"/>
      <c r="B37" s="68"/>
      <c r="C37" s="11"/>
      <c r="D37" s="11"/>
      <c r="E37" s="12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1"/>
      <c r="B38" s="12" t="s">
        <v>131</v>
      </c>
      <c r="C38" s="11"/>
      <c r="D38" s="11"/>
      <c r="E38" s="12"/>
      <c r="F38" s="232">
        <f>CHOOSE(DCF!$D$4,F39,F40,F41,F42,F43)</f>
        <v>0.11302209292785979</v>
      </c>
      <c r="G38" s="232">
        <f>CHOOSE(DCF!$D$4,G39,G40,G41,G42,G43)</f>
        <v>0.11302209292785979</v>
      </c>
      <c r="H38" s="232">
        <f>CHOOSE(DCF!$D$4,H39,H40,H41,H42,H43)</f>
        <v>0.11302209292785979</v>
      </c>
      <c r="I38" s="232">
        <f>CHOOSE(DCF!$D$4,I39,I40,I41,I42,I43)</f>
        <v>0.11302209292785979</v>
      </c>
      <c r="J38" s="232">
        <f>CHOOSE(DCF!$D$4,J39,J40,J41,J42,J43)</f>
        <v>0.11302209292785979</v>
      </c>
      <c r="K38" s="233">
        <f>CHOOSE(DCF!$D$4,K39,K40,K41,K42,K43)</f>
        <v>0.11302209292785979</v>
      </c>
      <c r="L38" s="233">
        <f>CHOOSE(DCF!$D$4,L39,L40,L41,L42,L43)</f>
        <v>0.11302209292785979</v>
      </c>
      <c r="M38" s="233">
        <f>CHOOSE(DCF!$D$4,M39,M40,M41,M42,M43)</f>
        <v>0.11302209292785979</v>
      </c>
      <c r="N38" s="233">
        <f>CHOOSE(DCF!$D$4,N39,N40,N41,N42,N43)</f>
        <v>0.11302209292785979</v>
      </c>
      <c r="O38" s="233">
        <f>CHOOSE(DCF!$D$4,O39,O40,O41,O42,O43)</f>
        <v>0.11302209292785979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1"/>
      <c r="B39" s="68" t="s">
        <v>184</v>
      </c>
      <c r="C39" s="11"/>
      <c r="D39" s="11"/>
      <c r="E39" s="12">
        <v>1</v>
      </c>
      <c r="F39" s="251">
        <v>0.11302209292785979</v>
      </c>
      <c r="G39" s="252">
        <v>0.11302209292785979</v>
      </c>
      <c r="H39" s="252">
        <v>0.11302209292785979</v>
      </c>
      <c r="I39" s="252">
        <v>0.11302209292785979</v>
      </c>
      <c r="J39" s="252">
        <v>0.11302209292785979</v>
      </c>
      <c r="K39" s="234">
        <f t="shared" ref="K39:O43" si="4">+J39</f>
        <v>0.11302209292785979</v>
      </c>
      <c r="L39" s="234">
        <f t="shared" si="4"/>
        <v>0.11302209292785979</v>
      </c>
      <c r="M39" s="234">
        <f t="shared" si="4"/>
        <v>0.11302209292785979</v>
      </c>
      <c r="N39" s="234">
        <f t="shared" si="4"/>
        <v>0.11302209292785979</v>
      </c>
      <c r="O39" s="235">
        <f t="shared" si="4"/>
        <v>0.11302209292785979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1"/>
      <c r="B40" s="68" t="s">
        <v>185</v>
      </c>
      <c r="C40" s="11"/>
      <c r="D40" s="11"/>
      <c r="E40" s="12">
        <v>2</v>
      </c>
      <c r="F40" s="251">
        <v>0.11641275571569561</v>
      </c>
      <c r="G40" s="252">
        <v>0.11641275571569561</v>
      </c>
      <c r="H40" s="252">
        <v>0.11641275571569561</v>
      </c>
      <c r="I40" s="252">
        <v>0.11641275571569561</v>
      </c>
      <c r="J40" s="252">
        <v>0.11641275571569561</v>
      </c>
      <c r="K40" s="234">
        <f t="shared" si="4"/>
        <v>0.11641275571569561</v>
      </c>
      <c r="L40" s="234">
        <f t="shared" si="4"/>
        <v>0.11641275571569561</v>
      </c>
      <c r="M40" s="234">
        <f t="shared" si="4"/>
        <v>0.11641275571569561</v>
      </c>
      <c r="N40" s="234">
        <f t="shared" si="4"/>
        <v>0.11641275571569561</v>
      </c>
      <c r="O40" s="235">
        <f t="shared" si="4"/>
        <v>0.11641275571569561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1"/>
      <c r="B41" s="68" t="s">
        <v>186</v>
      </c>
      <c r="C41" s="11"/>
      <c r="D41" s="11"/>
      <c r="E41" s="12">
        <v>3</v>
      </c>
      <c r="F41" s="251">
        <v>0.11076165106930259</v>
      </c>
      <c r="G41" s="252">
        <v>0.11076165106930259</v>
      </c>
      <c r="H41" s="252">
        <v>0.11076165106930259</v>
      </c>
      <c r="I41" s="252">
        <v>0.11076165106930259</v>
      </c>
      <c r="J41" s="252">
        <v>0.11076165106930259</v>
      </c>
      <c r="K41" s="234">
        <f t="shared" si="4"/>
        <v>0.11076165106930259</v>
      </c>
      <c r="L41" s="234">
        <f t="shared" si="4"/>
        <v>0.11076165106930259</v>
      </c>
      <c r="M41" s="234">
        <f t="shared" si="4"/>
        <v>0.11076165106930259</v>
      </c>
      <c r="N41" s="234">
        <f t="shared" si="4"/>
        <v>0.11076165106930259</v>
      </c>
      <c r="O41" s="235">
        <f t="shared" si="4"/>
        <v>0.11076165106930259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1"/>
      <c r="B42" s="68" t="s">
        <v>187</v>
      </c>
      <c r="C42" s="11"/>
      <c r="D42" s="11"/>
      <c r="E42" s="12">
        <v>4</v>
      </c>
      <c r="F42" s="251">
        <v>0.12206386036208849</v>
      </c>
      <c r="G42" s="252">
        <v>0.12206386036208849</v>
      </c>
      <c r="H42" s="252">
        <v>0.12206386036208849</v>
      </c>
      <c r="I42" s="252">
        <v>0.12206386036208849</v>
      </c>
      <c r="J42" s="252">
        <v>0.12206386036208849</v>
      </c>
      <c r="K42" s="234">
        <f t="shared" si="4"/>
        <v>0.12206386036208849</v>
      </c>
      <c r="L42" s="234">
        <f t="shared" si="4"/>
        <v>0.12206386036208849</v>
      </c>
      <c r="M42" s="234">
        <f t="shared" si="4"/>
        <v>0.12206386036208849</v>
      </c>
      <c r="N42" s="234">
        <f t="shared" si="4"/>
        <v>0.12206386036208849</v>
      </c>
      <c r="O42" s="235">
        <f t="shared" si="4"/>
        <v>0.12206386036208849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1"/>
      <c r="B43" s="68" t="s">
        <v>188</v>
      </c>
      <c r="C43" s="11"/>
      <c r="D43" s="11"/>
      <c r="E43" s="12">
        <v>5</v>
      </c>
      <c r="F43" s="253">
        <v>0.12997540686703871</v>
      </c>
      <c r="G43" s="254">
        <v>0.12997540686703871</v>
      </c>
      <c r="H43" s="254">
        <v>0.12997540686703871</v>
      </c>
      <c r="I43" s="254">
        <v>0.12997540686703871</v>
      </c>
      <c r="J43" s="254">
        <v>0.12997540686703871</v>
      </c>
      <c r="K43" s="236">
        <f t="shared" si="4"/>
        <v>0.12997540686703871</v>
      </c>
      <c r="L43" s="236">
        <f t="shared" si="4"/>
        <v>0.12997540686703871</v>
      </c>
      <c r="M43" s="236">
        <f t="shared" si="4"/>
        <v>0.12997540686703871</v>
      </c>
      <c r="N43" s="236">
        <f t="shared" si="4"/>
        <v>0.12997540686703871</v>
      </c>
      <c r="O43" s="237">
        <f t="shared" si="4"/>
        <v>0.12997540686703871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1"/>
      <c r="B44" s="68"/>
      <c r="C44" s="11"/>
      <c r="D44" s="11"/>
      <c r="E44" s="12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1"/>
      <c r="B45" s="12" t="s">
        <v>132</v>
      </c>
      <c r="C45" s="11"/>
      <c r="D45" s="11"/>
      <c r="E45" s="12"/>
      <c r="F45" s="232">
        <f>CHOOSE(DCF!$D$4,F46,F47,F48,F49,F50)</f>
        <v>0.4245093408962563</v>
      </c>
      <c r="G45" s="232">
        <f>CHOOSE(DCF!$D$4,G46,G47,G48,G49,G50)</f>
        <v>0.4245093408962563</v>
      </c>
      <c r="H45" s="232">
        <f>CHOOSE(DCF!$D$4,H46,H47,H48,H49,H50)</f>
        <v>0.4245093408962563</v>
      </c>
      <c r="I45" s="232">
        <f>CHOOSE(DCF!$D$4,I46,I47,I48,I49,I50)</f>
        <v>0.4245093408962563</v>
      </c>
      <c r="J45" s="232">
        <f>CHOOSE(DCF!$D$4,J46,J47,J48,J49,J50)</f>
        <v>0.4245093408962563</v>
      </c>
      <c r="K45" s="233">
        <f>CHOOSE(DCF!$D$4,K46,K47,K48,K49,K50)</f>
        <v>0.4245093408962563</v>
      </c>
      <c r="L45" s="233">
        <f>CHOOSE(DCF!$D$4,L46,L47,L48,L49,L50)</f>
        <v>0.4245093408962563</v>
      </c>
      <c r="M45" s="233">
        <f>CHOOSE(DCF!$D$4,M46,M47,M48,M49,M50)</f>
        <v>0.4245093408962563</v>
      </c>
      <c r="N45" s="233">
        <f>CHOOSE(DCF!$D$4,N46,N47,N48,N49,N50)</f>
        <v>0.4245093408962563</v>
      </c>
      <c r="O45" s="233">
        <f>CHOOSE(DCF!$D$4,O46,O47,O48,O49,O50)</f>
        <v>0.4245093408962563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1"/>
      <c r="B46" s="68" t="s">
        <v>184</v>
      </c>
      <c r="C46" s="11"/>
      <c r="D46" s="11"/>
      <c r="E46" s="12">
        <v>1</v>
      </c>
      <c r="F46" s="251">
        <v>0.4245093408962563</v>
      </c>
      <c r="G46" s="252">
        <v>0.4245093408962563</v>
      </c>
      <c r="H46" s="252">
        <v>0.4245093408962563</v>
      </c>
      <c r="I46" s="252">
        <v>0.4245093408962563</v>
      </c>
      <c r="J46" s="252">
        <v>0.4245093408962563</v>
      </c>
      <c r="K46" s="234">
        <f t="shared" ref="K46:O50" si="5">+J46</f>
        <v>0.4245093408962563</v>
      </c>
      <c r="L46" s="234">
        <f t="shared" si="5"/>
        <v>0.4245093408962563</v>
      </c>
      <c r="M46" s="234">
        <f t="shared" si="5"/>
        <v>0.4245093408962563</v>
      </c>
      <c r="N46" s="234">
        <f t="shared" si="5"/>
        <v>0.4245093408962563</v>
      </c>
      <c r="O46" s="235">
        <f t="shared" si="5"/>
        <v>0.4245093408962563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1"/>
      <c r="B47" s="68" t="s">
        <v>185</v>
      </c>
      <c r="C47" s="11"/>
      <c r="D47" s="11"/>
      <c r="E47" s="12">
        <v>2</v>
      </c>
      <c r="F47" s="251">
        <v>0.43724462112314399</v>
      </c>
      <c r="G47" s="252">
        <v>0.43724462112314399</v>
      </c>
      <c r="H47" s="252">
        <v>0.43724462112314399</v>
      </c>
      <c r="I47" s="252">
        <v>0.43724462112314399</v>
      </c>
      <c r="J47" s="252">
        <v>0.43724462112314399</v>
      </c>
      <c r="K47" s="234">
        <f t="shared" si="5"/>
        <v>0.43724462112314399</v>
      </c>
      <c r="L47" s="234">
        <f t="shared" si="5"/>
        <v>0.43724462112314399</v>
      </c>
      <c r="M47" s="234">
        <f t="shared" si="5"/>
        <v>0.43724462112314399</v>
      </c>
      <c r="N47" s="234">
        <f t="shared" si="5"/>
        <v>0.43724462112314399</v>
      </c>
      <c r="O47" s="235">
        <f t="shared" si="5"/>
        <v>0.43724462112314399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1"/>
      <c r="B48" s="68" t="s">
        <v>186</v>
      </c>
      <c r="C48" s="11"/>
      <c r="D48" s="11"/>
      <c r="E48" s="12">
        <v>3</v>
      </c>
      <c r="F48" s="251">
        <v>0.41601915407833118</v>
      </c>
      <c r="G48" s="252">
        <v>0.41601915407833118</v>
      </c>
      <c r="H48" s="252">
        <v>0.41601915407833118</v>
      </c>
      <c r="I48" s="252">
        <v>0.41601915407833118</v>
      </c>
      <c r="J48" s="252">
        <v>0.41601915407833118</v>
      </c>
      <c r="K48" s="234">
        <f t="shared" si="5"/>
        <v>0.41601915407833118</v>
      </c>
      <c r="L48" s="234">
        <f t="shared" si="5"/>
        <v>0.41601915407833118</v>
      </c>
      <c r="M48" s="234">
        <f t="shared" si="5"/>
        <v>0.41601915407833118</v>
      </c>
      <c r="N48" s="234">
        <f t="shared" si="5"/>
        <v>0.41601915407833118</v>
      </c>
      <c r="O48" s="235">
        <f t="shared" si="5"/>
        <v>0.41601915407833118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1"/>
      <c r="B49" s="68" t="s">
        <v>187</v>
      </c>
      <c r="C49" s="11"/>
      <c r="D49" s="11"/>
      <c r="E49" s="12">
        <v>4</v>
      </c>
      <c r="F49" s="251">
        <v>0.45847008816795681</v>
      </c>
      <c r="G49" s="252">
        <v>0.45847008816795681</v>
      </c>
      <c r="H49" s="252">
        <v>0.45847008816795681</v>
      </c>
      <c r="I49" s="252">
        <v>0.45847008816795681</v>
      </c>
      <c r="J49" s="252">
        <v>0.45847008816795681</v>
      </c>
      <c r="K49" s="234">
        <f t="shared" si="5"/>
        <v>0.45847008816795681</v>
      </c>
      <c r="L49" s="234">
        <f t="shared" si="5"/>
        <v>0.45847008816795681</v>
      </c>
      <c r="M49" s="234">
        <f t="shared" si="5"/>
        <v>0.45847008816795681</v>
      </c>
      <c r="N49" s="234">
        <f t="shared" si="5"/>
        <v>0.45847008816795681</v>
      </c>
      <c r="O49" s="235">
        <f t="shared" si="5"/>
        <v>0.45847008816795681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1"/>
      <c r="B50" s="68" t="s">
        <v>188</v>
      </c>
      <c r="C50" s="11"/>
      <c r="D50" s="11"/>
      <c r="E50" s="12">
        <v>5</v>
      </c>
      <c r="F50" s="253">
        <v>0.4881857420306947</v>
      </c>
      <c r="G50" s="254">
        <v>0.4881857420306947</v>
      </c>
      <c r="H50" s="254">
        <v>0.4881857420306947</v>
      </c>
      <c r="I50" s="254">
        <v>0.4881857420306947</v>
      </c>
      <c r="J50" s="254">
        <v>0.4881857420306947</v>
      </c>
      <c r="K50" s="236">
        <f t="shared" si="5"/>
        <v>0.4881857420306947</v>
      </c>
      <c r="L50" s="236">
        <f t="shared" si="5"/>
        <v>0.4881857420306947</v>
      </c>
      <c r="M50" s="236">
        <f t="shared" si="5"/>
        <v>0.4881857420306947</v>
      </c>
      <c r="N50" s="236">
        <f t="shared" si="5"/>
        <v>0.4881857420306947</v>
      </c>
      <c r="O50" s="237">
        <f t="shared" si="5"/>
        <v>0.4881857420306947</v>
      </c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68"/>
      <c r="C51" s="12"/>
      <c r="D51" s="12"/>
      <c r="E51" s="12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B2:O2"/>
    <mergeCell ref="F4:O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showGridLines="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4.7109375" style="261" customWidth="1"/>
    <col min="2" max="2" width="120.7109375" style="261" customWidth="1"/>
    <col min="3" max="3" width="18.7109375" style="261" customWidth="1"/>
    <col min="4" max="4" width="18.7109375" customWidth="1"/>
  </cols>
  <sheetData>
    <row r="1" spans="1:4" x14ac:dyDescent="0.2">
      <c r="A1" s="311" t="s">
        <v>209</v>
      </c>
      <c r="B1" s="311"/>
      <c r="C1" s="311"/>
      <c r="D1" s="311"/>
    </row>
    <row r="2" spans="1:4" x14ac:dyDescent="0.2">
      <c r="A2" s="297" t="s">
        <v>210</v>
      </c>
      <c r="B2" s="296" t="s">
        <v>211</v>
      </c>
      <c r="C2" s="296"/>
      <c r="D2" s="296"/>
    </row>
    <row r="3" spans="1:4" ht="25.5" x14ac:dyDescent="0.2">
      <c r="A3" s="297" t="s">
        <v>225</v>
      </c>
      <c r="B3" s="296" t="s">
        <v>226</v>
      </c>
      <c r="C3" s="296"/>
      <c r="D3" s="296"/>
    </row>
    <row r="4" spans="1:4" x14ac:dyDescent="0.2">
      <c r="A4" s="297" t="s">
        <v>212</v>
      </c>
      <c r="B4" s="296" t="s">
        <v>227</v>
      </c>
      <c r="C4" s="296"/>
      <c r="D4" s="296"/>
    </row>
    <row r="5" spans="1:4" x14ac:dyDescent="0.2">
      <c r="A5"/>
      <c r="B5"/>
      <c r="C5"/>
    </row>
    <row r="6" spans="1:4" ht="67.5" x14ac:dyDescent="0.2">
      <c r="A6" s="292" t="s">
        <v>197</v>
      </c>
      <c r="B6" s="293" t="s">
        <v>198</v>
      </c>
      <c r="C6" s="293" t="s">
        <v>199</v>
      </c>
    </row>
    <row r="7" spans="1:4" ht="67.5" x14ac:dyDescent="0.2">
      <c r="A7" s="264" t="s">
        <v>200</v>
      </c>
      <c r="B7" s="265" t="s">
        <v>201</v>
      </c>
      <c r="C7" s="265" t="s">
        <v>202</v>
      </c>
    </row>
    <row r="8" spans="1:4" ht="94.5" x14ac:dyDescent="0.2">
      <c r="A8" s="292" t="s">
        <v>203</v>
      </c>
      <c r="B8" s="293" t="s">
        <v>204</v>
      </c>
      <c r="C8" s="293" t="s">
        <v>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Valuation Summary</vt:lpstr>
      <vt:lpstr>DCF</vt:lpstr>
      <vt:lpstr>NWC</vt:lpstr>
      <vt:lpstr>WACC</vt:lpstr>
      <vt:lpstr>A1</vt:lpstr>
      <vt:lpstr>A2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Nguyễn Vũ Trường Huy</cp:lastModifiedBy>
  <dcterms:created xsi:type="dcterms:W3CDTF">2026-06-11T06:40:30Z</dcterms:created>
  <dcterms:modified xsi:type="dcterms:W3CDTF">2026-06-11T14:02:45Z</dcterms:modified>
</cp:coreProperties>
</file>