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Work\Web\portfolio\public\research\valuation-models\"/>
    </mc:Choice>
  </mc:AlternateContent>
  <xr:revisionPtr revIDLastSave="0" documentId="13_ncr:1_{ECF912AE-C8CE-4416-AA52-98E7261FF90E}" xr6:coauthVersionLast="47" xr6:coauthVersionMax="47" xr10:uidLastSave="{00000000-0000-0000-0000-000000000000}"/>
  <bookViews>
    <workbookView xWindow="-120" yWindow="-120" windowWidth="38640" windowHeight="21120" xr2:uid="{00000000-000D-0000-FFFF-FFFF00000000}"/>
  </bookViews>
  <sheets>
    <sheet name="Valuation Summary" sheetId="1" r:id="rId1"/>
    <sheet name="List" sheetId="2" r:id="rId2"/>
    <sheet name="Output" sheetId="3" r:id="rId3"/>
    <sheet name="ACQR;TRGT 1" sheetId="4" r:id="rId4"/>
    <sheet name="ACQR;TRGT 2" sheetId="5" r:id="rId5"/>
    <sheet name="ACQR;TRGT 3" sheetId="6" r:id="rId6"/>
    <sheet name="ACQR;TRGT 4" sheetId="7" r:id="rId7"/>
    <sheet name="ACQR;TRGT 5" sheetId="8" r:id="rId8"/>
    <sheet name="ACQR;TRGT 6" sheetId="9" r:id="rId9"/>
    <sheet name="ACQR;TRGT 7" sheetId="10" r:id="rId10"/>
    <sheet name="ACQR;TRGT 8" sheetId="11" r:id="rId11"/>
    <sheet name="ACQR;TRGT 9" sheetId="12" r:id="rId12"/>
    <sheet name="ACQR;TRGT 10" sheetId="13" r:id="rId13"/>
    <sheet name="Sources" sheetId="14" r:id="rId1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4" i="13" l="1"/>
  <c r="B63" i="13"/>
  <c r="B62" i="13"/>
  <c r="B61" i="13"/>
  <c r="B60" i="13"/>
  <c r="B59" i="13"/>
  <c r="L57" i="13"/>
  <c r="K57" i="13"/>
  <c r="J57" i="13"/>
  <c r="M56" i="13"/>
  <c r="M57" i="13" s="1"/>
  <c r="R55" i="13"/>
  <c r="L55" i="13"/>
  <c r="K55" i="13"/>
  <c r="J55" i="13"/>
  <c r="R54" i="13"/>
  <c r="M54" i="13"/>
  <c r="R53" i="13"/>
  <c r="R52" i="13"/>
  <c r="R51" i="13"/>
  <c r="P46" i="13"/>
  <c r="M46" i="13"/>
  <c r="L45" i="13"/>
  <c r="K45" i="13"/>
  <c r="K47" i="13" s="1"/>
  <c r="J45" i="13"/>
  <c r="L44" i="13"/>
  <c r="K44" i="13"/>
  <c r="J44" i="13"/>
  <c r="L39" i="13"/>
  <c r="K39" i="13"/>
  <c r="J39" i="13"/>
  <c r="M35" i="13"/>
  <c r="L34" i="13"/>
  <c r="K34" i="13"/>
  <c r="J34" i="13"/>
  <c r="M29" i="13"/>
  <c r="B26" i="13"/>
  <c r="M24" i="13"/>
  <c r="E24" i="13"/>
  <c r="E27" i="13" s="1"/>
  <c r="M20" i="13"/>
  <c r="M19" i="13"/>
  <c r="M18" i="13"/>
  <c r="M16" i="13"/>
  <c r="M14" i="13"/>
  <c r="M13" i="13"/>
  <c r="L12" i="13"/>
  <c r="L15" i="13" s="1"/>
  <c r="K12" i="13"/>
  <c r="K15" i="13" s="1"/>
  <c r="J12" i="13"/>
  <c r="J15" i="13" s="1"/>
  <c r="J33" i="13" s="1"/>
  <c r="M11" i="13"/>
  <c r="M10" i="13"/>
  <c r="M9" i="13"/>
  <c r="A1" i="13"/>
  <c r="B64" i="12"/>
  <c r="B63" i="12"/>
  <c r="B62" i="12"/>
  <c r="B61" i="12"/>
  <c r="B60" i="12"/>
  <c r="B59" i="12"/>
  <c r="L57" i="12"/>
  <c r="K57" i="12"/>
  <c r="J57" i="12"/>
  <c r="M56" i="12"/>
  <c r="R55" i="12"/>
  <c r="L55" i="12"/>
  <c r="K55" i="12"/>
  <c r="J55" i="12"/>
  <c r="R54" i="12"/>
  <c r="M54" i="12"/>
  <c r="R53" i="12"/>
  <c r="R52" i="12"/>
  <c r="R51" i="12"/>
  <c r="P46" i="12"/>
  <c r="M46" i="12"/>
  <c r="L45" i="12"/>
  <c r="K45" i="12"/>
  <c r="J45" i="12"/>
  <c r="L44" i="12"/>
  <c r="K44" i="12"/>
  <c r="J44" i="12"/>
  <c r="L39" i="12"/>
  <c r="K39" i="12"/>
  <c r="J39" i="12"/>
  <c r="M35" i="12"/>
  <c r="L34" i="12"/>
  <c r="K34" i="12"/>
  <c r="J34" i="12"/>
  <c r="M29" i="12"/>
  <c r="B26" i="12"/>
  <c r="M24" i="12"/>
  <c r="E24" i="12"/>
  <c r="E27" i="12" s="1"/>
  <c r="R43" i="12" s="1"/>
  <c r="S43" i="12" s="1"/>
  <c r="M20" i="12"/>
  <c r="M19" i="12"/>
  <c r="M18" i="12"/>
  <c r="M16" i="12"/>
  <c r="M14" i="12"/>
  <c r="M13" i="12"/>
  <c r="L12" i="12"/>
  <c r="L15" i="12" s="1"/>
  <c r="K12" i="12"/>
  <c r="K15" i="12" s="1"/>
  <c r="K33" i="12" s="1"/>
  <c r="J12" i="12"/>
  <c r="M11" i="12"/>
  <c r="M10" i="12"/>
  <c r="E41" i="12" s="1"/>
  <c r="M9" i="12"/>
  <c r="A1" i="12"/>
  <c r="B64" i="11"/>
  <c r="B63" i="11"/>
  <c r="B62" i="11"/>
  <c r="B61" i="11"/>
  <c r="B60" i="11"/>
  <c r="B59" i="11"/>
  <c r="L57" i="11"/>
  <c r="K57" i="11"/>
  <c r="J57" i="11"/>
  <c r="M56" i="11"/>
  <c r="R55" i="11"/>
  <c r="L55" i="11"/>
  <c r="K55" i="11"/>
  <c r="J55" i="11"/>
  <c r="R54" i="11"/>
  <c r="M54" i="11"/>
  <c r="R53" i="11"/>
  <c r="R52" i="11"/>
  <c r="R51" i="11"/>
  <c r="P46" i="11"/>
  <c r="M46" i="11"/>
  <c r="L45" i="11"/>
  <c r="K45" i="11"/>
  <c r="J45" i="11"/>
  <c r="L44" i="11"/>
  <c r="K44" i="11"/>
  <c r="J44" i="11"/>
  <c r="L39" i="11"/>
  <c r="K39" i="11"/>
  <c r="J39" i="11"/>
  <c r="M35" i="11"/>
  <c r="L34" i="11"/>
  <c r="K34" i="11"/>
  <c r="J34" i="11"/>
  <c r="M29" i="11"/>
  <c r="B26" i="11"/>
  <c r="M24" i="11"/>
  <c r="E24" i="11"/>
  <c r="E27" i="11" s="1"/>
  <c r="R43" i="11" s="1"/>
  <c r="S43" i="11" s="1"/>
  <c r="M20" i="11"/>
  <c r="M19" i="11"/>
  <c r="M18" i="11"/>
  <c r="M16" i="11"/>
  <c r="M14" i="11"/>
  <c r="M13" i="11"/>
  <c r="L12" i="11"/>
  <c r="L15" i="11" s="1"/>
  <c r="L33" i="11" s="1"/>
  <c r="K12" i="11"/>
  <c r="J12" i="11"/>
  <c r="M11" i="11"/>
  <c r="M10" i="11"/>
  <c r="E41" i="11" s="1"/>
  <c r="M9" i="11"/>
  <c r="A1" i="11"/>
  <c r="B64" i="10"/>
  <c r="B63" i="10"/>
  <c r="B62" i="10"/>
  <c r="B61" i="10"/>
  <c r="B60" i="10"/>
  <c r="B59" i="10"/>
  <c r="L57" i="10"/>
  <c r="K57" i="10"/>
  <c r="J57" i="10"/>
  <c r="M56" i="10"/>
  <c r="R55" i="10"/>
  <c r="L55" i="10"/>
  <c r="K55" i="10"/>
  <c r="J55" i="10"/>
  <c r="R54" i="10"/>
  <c r="M54" i="10"/>
  <c r="R53" i="10"/>
  <c r="R52" i="10"/>
  <c r="R51" i="10"/>
  <c r="P46" i="10"/>
  <c r="M46" i="10"/>
  <c r="L45" i="10"/>
  <c r="K45" i="10"/>
  <c r="J45" i="10"/>
  <c r="L44" i="10"/>
  <c r="K44" i="10"/>
  <c r="J44" i="10"/>
  <c r="M39" i="10"/>
  <c r="L39" i="10"/>
  <c r="K39" i="10"/>
  <c r="J39" i="10"/>
  <c r="M35" i="10"/>
  <c r="L34" i="10"/>
  <c r="K34" i="10"/>
  <c r="J34" i="10"/>
  <c r="M29" i="10"/>
  <c r="B26" i="10"/>
  <c r="M24" i="10"/>
  <c r="E24" i="10"/>
  <c r="E27" i="10" s="1"/>
  <c r="M20" i="10"/>
  <c r="M19" i="10"/>
  <c r="M18" i="10"/>
  <c r="M16" i="10"/>
  <c r="M14" i="10"/>
  <c r="M13" i="10"/>
  <c r="L12" i="10"/>
  <c r="K12" i="10"/>
  <c r="J12" i="10"/>
  <c r="J28" i="10" s="1"/>
  <c r="J30" i="10" s="1"/>
  <c r="J31" i="10" s="1"/>
  <c r="M11" i="10"/>
  <c r="M10" i="10"/>
  <c r="E41" i="10" s="1"/>
  <c r="M9" i="10"/>
  <c r="A1" i="10"/>
  <c r="B64" i="9"/>
  <c r="B63" i="9"/>
  <c r="B62" i="9"/>
  <c r="B61" i="9"/>
  <c r="B60" i="9"/>
  <c r="B59" i="9"/>
  <c r="L57" i="9"/>
  <c r="K57" i="9"/>
  <c r="J57" i="9"/>
  <c r="M56" i="9"/>
  <c r="R55" i="9"/>
  <c r="L55" i="9"/>
  <c r="K55" i="9"/>
  <c r="J55" i="9"/>
  <c r="R54" i="9"/>
  <c r="M54" i="9"/>
  <c r="M39" i="9" s="1"/>
  <c r="R53" i="9"/>
  <c r="R52" i="9"/>
  <c r="R51" i="9"/>
  <c r="P46" i="9"/>
  <c r="M46" i="9"/>
  <c r="L45" i="9"/>
  <c r="K45" i="9"/>
  <c r="J45" i="9"/>
  <c r="L44" i="9"/>
  <c r="K44" i="9"/>
  <c r="J44" i="9"/>
  <c r="L39" i="9"/>
  <c r="K39" i="9"/>
  <c r="J39" i="9"/>
  <c r="M35" i="9"/>
  <c r="L34" i="9"/>
  <c r="K34" i="9"/>
  <c r="J34" i="9"/>
  <c r="M29" i="9"/>
  <c r="B26" i="9"/>
  <c r="M24" i="9"/>
  <c r="E24" i="9"/>
  <c r="E27" i="9" s="1"/>
  <c r="S15" i="3" s="1"/>
  <c r="M20" i="9"/>
  <c r="M19" i="9"/>
  <c r="M18" i="9"/>
  <c r="M16" i="9"/>
  <c r="M14" i="9"/>
  <c r="M13" i="9"/>
  <c r="L12" i="9"/>
  <c r="K12" i="9"/>
  <c r="K28" i="9" s="1"/>
  <c r="K30" i="9" s="1"/>
  <c r="K31" i="9" s="1"/>
  <c r="J12" i="9"/>
  <c r="J28" i="9" s="1"/>
  <c r="J30" i="9" s="1"/>
  <c r="J31" i="9" s="1"/>
  <c r="M11" i="9"/>
  <c r="M10" i="9"/>
  <c r="E41" i="9" s="1"/>
  <c r="M9" i="9"/>
  <c r="A1" i="9"/>
  <c r="B64" i="8"/>
  <c r="B63" i="8"/>
  <c r="B62" i="8"/>
  <c r="B61" i="8"/>
  <c r="B60" i="8"/>
  <c r="B59" i="8"/>
  <c r="L57" i="8"/>
  <c r="K57" i="8"/>
  <c r="J57" i="8"/>
  <c r="M56" i="8"/>
  <c r="R55" i="8"/>
  <c r="L55" i="8"/>
  <c r="K55" i="8"/>
  <c r="J55" i="8"/>
  <c r="R54" i="8"/>
  <c r="M54" i="8"/>
  <c r="M39" i="8" s="1"/>
  <c r="R53" i="8"/>
  <c r="R52" i="8"/>
  <c r="R51" i="8"/>
  <c r="P46" i="8"/>
  <c r="M46" i="8"/>
  <c r="L45" i="8"/>
  <c r="K45" i="8"/>
  <c r="J45" i="8"/>
  <c r="L44" i="8"/>
  <c r="K44" i="8"/>
  <c r="J44" i="8"/>
  <c r="L39" i="8"/>
  <c r="K39" i="8"/>
  <c r="J39" i="8"/>
  <c r="M35" i="8"/>
  <c r="L34" i="8"/>
  <c r="K34" i="8"/>
  <c r="J34" i="8"/>
  <c r="M29" i="8"/>
  <c r="B26" i="8"/>
  <c r="M24" i="8"/>
  <c r="E24" i="8"/>
  <c r="E27" i="8" s="1"/>
  <c r="S54" i="8" s="1"/>
  <c r="M20" i="8"/>
  <c r="M19" i="8"/>
  <c r="M18" i="8"/>
  <c r="M16" i="8"/>
  <c r="M14" i="8"/>
  <c r="M13" i="8"/>
  <c r="L12" i="8"/>
  <c r="L28" i="8" s="1"/>
  <c r="L30" i="8" s="1"/>
  <c r="L31" i="8" s="1"/>
  <c r="K12" i="8"/>
  <c r="K28" i="8" s="1"/>
  <c r="K30" i="8" s="1"/>
  <c r="K31" i="8" s="1"/>
  <c r="J12" i="8"/>
  <c r="J28" i="8" s="1"/>
  <c r="J30" i="8" s="1"/>
  <c r="J31" i="8" s="1"/>
  <c r="M11" i="8"/>
  <c r="M10" i="8"/>
  <c r="E41" i="8" s="1"/>
  <c r="M9" i="8"/>
  <c r="A1" i="8"/>
  <c r="B64" i="7"/>
  <c r="B63" i="7"/>
  <c r="B62" i="7"/>
  <c r="B61" i="7"/>
  <c r="B60" i="7"/>
  <c r="B59" i="7"/>
  <c r="L57" i="7"/>
  <c r="K57" i="7"/>
  <c r="J57" i="7"/>
  <c r="M56" i="7"/>
  <c r="R55" i="7"/>
  <c r="L55" i="7"/>
  <c r="K55" i="7"/>
  <c r="J55" i="7"/>
  <c r="R54" i="7"/>
  <c r="M54" i="7"/>
  <c r="M39" i="7" s="1"/>
  <c r="R53" i="7"/>
  <c r="R52" i="7"/>
  <c r="R51" i="7"/>
  <c r="P46" i="7"/>
  <c r="M46" i="7"/>
  <c r="L45" i="7"/>
  <c r="K45" i="7"/>
  <c r="J45" i="7"/>
  <c r="L44" i="7"/>
  <c r="K44" i="7"/>
  <c r="J44" i="7"/>
  <c r="L39" i="7"/>
  <c r="K39" i="7"/>
  <c r="J39" i="7"/>
  <c r="M35" i="7"/>
  <c r="L34" i="7"/>
  <c r="K34" i="7"/>
  <c r="J34" i="7"/>
  <c r="M29" i="7"/>
  <c r="B26" i="7"/>
  <c r="M24" i="7"/>
  <c r="E24" i="7"/>
  <c r="E27" i="7" s="1"/>
  <c r="M20" i="7"/>
  <c r="M19" i="7"/>
  <c r="M18" i="7"/>
  <c r="M16" i="7"/>
  <c r="M14" i="7"/>
  <c r="M13" i="7"/>
  <c r="L12" i="7"/>
  <c r="L28" i="7" s="1"/>
  <c r="L30" i="7" s="1"/>
  <c r="L31" i="7" s="1"/>
  <c r="K12" i="7"/>
  <c r="K28" i="7" s="1"/>
  <c r="K30" i="7" s="1"/>
  <c r="K31" i="7" s="1"/>
  <c r="J12" i="7"/>
  <c r="J28" i="7" s="1"/>
  <c r="J30" i="7" s="1"/>
  <c r="J31" i="7" s="1"/>
  <c r="M11" i="7"/>
  <c r="M10" i="7"/>
  <c r="E41" i="7" s="1"/>
  <c r="M9" i="7"/>
  <c r="A1" i="7"/>
  <c r="B64" i="6"/>
  <c r="B63" i="6"/>
  <c r="B62" i="6"/>
  <c r="B61" i="6"/>
  <c r="B60" i="6"/>
  <c r="B59" i="6"/>
  <c r="L57" i="6"/>
  <c r="K57" i="6"/>
  <c r="J57" i="6"/>
  <c r="M56" i="6"/>
  <c r="R55" i="6"/>
  <c r="L55" i="6"/>
  <c r="K55" i="6"/>
  <c r="J55" i="6"/>
  <c r="R54" i="6"/>
  <c r="M54" i="6"/>
  <c r="M39" i="6" s="1"/>
  <c r="R53" i="6"/>
  <c r="R52" i="6"/>
  <c r="R51" i="6"/>
  <c r="P46" i="6"/>
  <c r="M46" i="6"/>
  <c r="L45" i="6"/>
  <c r="K45" i="6"/>
  <c r="J45" i="6"/>
  <c r="L44" i="6"/>
  <c r="K44" i="6"/>
  <c r="J44" i="6"/>
  <c r="L39" i="6"/>
  <c r="K39" i="6"/>
  <c r="J39" i="6"/>
  <c r="M35" i="6"/>
  <c r="L34" i="6"/>
  <c r="K34" i="6"/>
  <c r="J34" i="6"/>
  <c r="M29" i="6"/>
  <c r="B26" i="6"/>
  <c r="M24" i="6"/>
  <c r="E24" i="6"/>
  <c r="E27" i="6" s="1"/>
  <c r="S52" i="6" s="1"/>
  <c r="M20" i="6"/>
  <c r="M19" i="6"/>
  <c r="M18" i="6"/>
  <c r="M16" i="6"/>
  <c r="M14" i="6"/>
  <c r="M13" i="6"/>
  <c r="L12" i="6"/>
  <c r="L28" i="6" s="1"/>
  <c r="L30" i="6" s="1"/>
  <c r="L31" i="6" s="1"/>
  <c r="K12" i="6"/>
  <c r="K28" i="6" s="1"/>
  <c r="K30" i="6" s="1"/>
  <c r="K31" i="6" s="1"/>
  <c r="J12" i="6"/>
  <c r="J28" i="6" s="1"/>
  <c r="J30" i="6" s="1"/>
  <c r="J31" i="6" s="1"/>
  <c r="M11" i="6"/>
  <c r="M10" i="6"/>
  <c r="E41" i="6" s="1"/>
  <c r="M9" i="6"/>
  <c r="A1" i="6"/>
  <c r="B64" i="5"/>
  <c r="B63" i="5"/>
  <c r="B62" i="5"/>
  <c r="B61" i="5"/>
  <c r="B60" i="5"/>
  <c r="B59" i="5"/>
  <c r="L57" i="5"/>
  <c r="K57" i="5"/>
  <c r="J57" i="5"/>
  <c r="M56" i="5"/>
  <c r="R55" i="5"/>
  <c r="L55" i="5"/>
  <c r="K55" i="5"/>
  <c r="J55" i="5"/>
  <c r="R54" i="5"/>
  <c r="M54" i="5"/>
  <c r="R53" i="5"/>
  <c r="R52" i="5"/>
  <c r="R51" i="5"/>
  <c r="P46" i="5"/>
  <c r="M46" i="5"/>
  <c r="L45" i="5"/>
  <c r="K45" i="5"/>
  <c r="J45" i="5"/>
  <c r="L44" i="5"/>
  <c r="K44" i="5"/>
  <c r="J44" i="5"/>
  <c r="L39" i="5"/>
  <c r="K39" i="5"/>
  <c r="J39" i="5"/>
  <c r="M35" i="5"/>
  <c r="L34" i="5"/>
  <c r="K34" i="5"/>
  <c r="J34" i="5"/>
  <c r="M29" i="5"/>
  <c r="B26" i="5"/>
  <c r="M24" i="5"/>
  <c r="E24" i="5"/>
  <c r="E27" i="5" s="1"/>
  <c r="M20" i="5"/>
  <c r="M19" i="5"/>
  <c r="M18" i="5"/>
  <c r="M16" i="5"/>
  <c r="M14" i="5"/>
  <c r="M13" i="5"/>
  <c r="L12" i="5"/>
  <c r="L15" i="5" s="1"/>
  <c r="K12" i="5"/>
  <c r="K15" i="5" s="1"/>
  <c r="J12" i="5"/>
  <c r="J28" i="5" s="1"/>
  <c r="J30" i="5" s="1"/>
  <c r="J31" i="5" s="1"/>
  <c r="M11" i="5"/>
  <c r="M10" i="5"/>
  <c r="E41" i="5" s="1"/>
  <c r="M9" i="5"/>
  <c r="A1" i="5"/>
  <c r="B64" i="4"/>
  <c r="B63" i="4"/>
  <c r="B62" i="4"/>
  <c r="B61" i="4"/>
  <c r="B60" i="4"/>
  <c r="B59" i="4"/>
  <c r="L57" i="4"/>
  <c r="K57" i="4"/>
  <c r="J57" i="4"/>
  <c r="M56" i="4"/>
  <c r="R55" i="4"/>
  <c r="L55" i="4"/>
  <c r="K55" i="4"/>
  <c r="J55" i="4"/>
  <c r="R54" i="4"/>
  <c r="M54" i="4"/>
  <c r="M39" i="4" s="1"/>
  <c r="R53" i="4"/>
  <c r="R52" i="4"/>
  <c r="R51" i="4"/>
  <c r="P46" i="4"/>
  <c r="M46" i="4"/>
  <c r="L45" i="4"/>
  <c r="K45" i="4"/>
  <c r="J45" i="4"/>
  <c r="L44" i="4"/>
  <c r="K44" i="4"/>
  <c r="J44" i="4"/>
  <c r="L39" i="4"/>
  <c r="K39" i="4"/>
  <c r="J39" i="4"/>
  <c r="M35" i="4"/>
  <c r="L34" i="4"/>
  <c r="K34" i="4"/>
  <c r="J34" i="4"/>
  <c r="M29" i="4"/>
  <c r="B26" i="4"/>
  <c r="M24" i="4"/>
  <c r="E24" i="4"/>
  <c r="E27" i="4" s="1"/>
  <c r="M20" i="4"/>
  <c r="M19" i="4"/>
  <c r="M18" i="4"/>
  <c r="M16" i="4"/>
  <c r="M14" i="4"/>
  <c r="M13" i="4"/>
  <c r="L12" i="4"/>
  <c r="L15" i="4" s="1"/>
  <c r="K12" i="4"/>
  <c r="K28" i="4" s="1"/>
  <c r="K30" i="4" s="1"/>
  <c r="K31" i="4" s="1"/>
  <c r="J12" i="4"/>
  <c r="J28" i="4" s="1"/>
  <c r="J30" i="4" s="1"/>
  <c r="J31" i="4" s="1"/>
  <c r="M11" i="4"/>
  <c r="M10" i="4"/>
  <c r="M9" i="4"/>
  <c r="A1" i="4"/>
  <c r="P22" i="3"/>
  <c r="P21" i="3"/>
  <c r="F19" i="3"/>
  <c r="E19" i="3"/>
  <c r="D19" i="3"/>
  <c r="C19" i="3"/>
  <c r="B19" i="3"/>
  <c r="F18" i="3"/>
  <c r="E18" i="3"/>
  <c r="D18" i="3"/>
  <c r="C18" i="3"/>
  <c r="B18" i="3"/>
  <c r="F17" i="3"/>
  <c r="E17" i="3"/>
  <c r="D17" i="3"/>
  <c r="C17" i="3"/>
  <c r="B17" i="3"/>
  <c r="F16" i="3"/>
  <c r="E16" i="3"/>
  <c r="D16" i="3"/>
  <c r="C16" i="3"/>
  <c r="B16" i="3"/>
  <c r="F15" i="3"/>
  <c r="E15" i="3"/>
  <c r="D15" i="3"/>
  <c r="C15" i="3"/>
  <c r="B15" i="3"/>
  <c r="F14" i="3"/>
  <c r="E14" i="3"/>
  <c r="D14" i="3"/>
  <c r="C14" i="3"/>
  <c r="B14" i="3"/>
  <c r="F13" i="3"/>
  <c r="E13" i="3"/>
  <c r="D13" i="3"/>
  <c r="C13" i="3"/>
  <c r="B13" i="3"/>
  <c r="F12" i="3"/>
  <c r="E12" i="3"/>
  <c r="D12" i="3"/>
  <c r="C12" i="3"/>
  <c r="B12" i="3"/>
  <c r="F11" i="3"/>
  <c r="E11" i="3"/>
  <c r="D11" i="3"/>
  <c r="C11" i="3"/>
  <c r="B11" i="3"/>
  <c r="F10" i="3"/>
  <c r="E10" i="3"/>
  <c r="D10" i="3"/>
  <c r="C10" i="3"/>
  <c r="B10" i="3"/>
  <c r="H14" i="2"/>
  <c r="E14" i="2"/>
  <c r="D14" i="2"/>
  <c r="C14" i="2"/>
  <c r="B14" i="2"/>
  <c r="A14" i="2"/>
  <c r="E13" i="2"/>
  <c r="D13" i="2"/>
  <c r="C13" i="2"/>
  <c r="B13" i="2"/>
  <c r="A13" i="2"/>
  <c r="E12" i="2"/>
  <c r="D12" i="2"/>
  <c r="C12" i="2"/>
  <c r="B12" i="2"/>
  <c r="A12" i="2"/>
  <c r="E11" i="2"/>
  <c r="D11" i="2"/>
  <c r="C11" i="2"/>
  <c r="B11" i="2"/>
  <c r="A11" i="2"/>
  <c r="H10" i="2"/>
  <c r="E10" i="2"/>
  <c r="D10" i="2"/>
  <c r="C10" i="2"/>
  <c r="B10" i="2"/>
  <c r="A10" i="2"/>
  <c r="E9" i="2"/>
  <c r="D9" i="2"/>
  <c r="C9" i="2"/>
  <c r="B9" i="2"/>
  <c r="A9" i="2"/>
  <c r="E8" i="2"/>
  <c r="D8" i="2"/>
  <c r="C8" i="2"/>
  <c r="B8" i="2"/>
  <c r="A8" i="2"/>
  <c r="E7" i="2"/>
  <c r="D7" i="2"/>
  <c r="C7" i="2"/>
  <c r="B7" i="2"/>
  <c r="A7" i="2"/>
  <c r="E6" i="2"/>
  <c r="D6" i="2"/>
  <c r="C6" i="2"/>
  <c r="B6" i="2"/>
  <c r="A6" i="2"/>
  <c r="E5" i="2"/>
  <c r="D5" i="2"/>
  <c r="C5" i="2"/>
  <c r="B5" i="2"/>
  <c r="A5" i="2"/>
  <c r="H9" i="2" l="1"/>
  <c r="M57" i="9"/>
  <c r="K47" i="10"/>
  <c r="H6" i="2"/>
  <c r="H7" i="2"/>
  <c r="J47" i="10"/>
  <c r="H13" i="2"/>
  <c r="L28" i="5"/>
  <c r="L30" i="5" s="1"/>
  <c r="L31" i="5" s="1"/>
  <c r="M55" i="6"/>
  <c r="H11" i="2"/>
  <c r="M45" i="12"/>
  <c r="H8" i="2"/>
  <c r="K15" i="8"/>
  <c r="K17" i="8" s="1"/>
  <c r="K22" i="8" s="1"/>
  <c r="M12" i="6"/>
  <c r="M28" i="6" s="1"/>
  <c r="M30" i="6" s="1"/>
  <c r="M31" i="6" s="1"/>
  <c r="M55" i="4"/>
  <c r="M34" i="9"/>
  <c r="M12" i="5"/>
  <c r="M15" i="5" s="1"/>
  <c r="M57" i="10"/>
  <c r="M12" i="8"/>
  <c r="M28" i="8" s="1"/>
  <c r="M30" i="8" s="1"/>
  <c r="M31" i="8" s="1"/>
  <c r="M45" i="8"/>
  <c r="K47" i="9"/>
  <c r="M34" i="6"/>
  <c r="J47" i="7"/>
  <c r="J15" i="8"/>
  <c r="J17" i="8" s="1"/>
  <c r="J21" i="8" s="1"/>
  <c r="M34" i="12"/>
  <c r="S13" i="3"/>
  <c r="R42" i="7"/>
  <c r="S42" i="7" s="1"/>
  <c r="M12" i="4"/>
  <c r="M28" i="4" s="1"/>
  <c r="M30" i="4" s="1"/>
  <c r="M31" i="4" s="1"/>
  <c r="M45" i="4"/>
  <c r="M34" i="13"/>
  <c r="L47" i="4"/>
  <c r="M55" i="5"/>
  <c r="K47" i="7"/>
  <c r="M57" i="4"/>
  <c r="M12" i="9"/>
  <c r="M15" i="9" s="1"/>
  <c r="M45" i="9"/>
  <c r="L36" i="11"/>
  <c r="L37" i="11" s="1"/>
  <c r="M45" i="7"/>
  <c r="M55" i="10"/>
  <c r="K28" i="12"/>
  <c r="K30" i="12" s="1"/>
  <c r="K31" i="12" s="1"/>
  <c r="J15" i="4"/>
  <c r="J17" i="4" s="1"/>
  <c r="J21" i="4" s="1"/>
  <c r="S51" i="8"/>
  <c r="M57" i="7"/>
  <c r="K47" i="12"/>
  <c r="M44" i="6"/>
  <c r="M12" i="10"/>
  <c r="M15" i="10" s="1"/>
  <c r="L47" i="10"/>
  <c r="L47" i="12"/>
  <c r="K47" i="6"/>
  <c r="M45" i="10"/>
  <c r="H5" i="2"/>
  <c r="L47" i="6"/>
  <c r="K47" i="8"/>
  <c r="J47" i="11"/>
  <c r="J36" i="13"/>
  <c r="J37" i="13" s="1"/>
  <c r="K28" i="13"/>
  <c r="K30" i="13" s="1"/>
  <c r="K31" i="13" s="1"/>
  <c r="M45" i="13"/>
  <c r="S55" i="13"/>
  <c r="R19" i="3"/>
  <c r="E51" i="13"/>
  <c r="M12" i="11"/>
  <c r="M15" i="11" s="1"/>
  <c r="M17" i="11" s="1"/>
  <c r="R12" i="3"/>
  <c r="L28" i="11"/>
  <c r="L30" i="11" s="1"/>
  <c r="L31" i="11" s="1"/>
  <c r="M44" i="11"/>
  <c r="M34" i="7"/>
  <c r="M34" i="11"/>
  <c r="K47" i="11"/>
  <c r="R42" i="6"/>
  <c r="S42" i="6" s="1"/>
  <c r="H12" i="2"/>
  <c r="J47" i="5"/>
  <c r="M45" i="6"/>
  <c r="K15" i="7"/>
  <c r="K17" i="7" s="1"/>
  <c r="K22" i="7" s="1"/>
  <c r="L15" i="8"/>
  <c r="M34" i="8"/>
  <c r="L47" i="8"/>
  <c r="L47" i="9"/>
  <c r="M34" i="10"/>
  <c r="M44" i="10"/>
  <c r="M45" i="11"/>
  <c r="J28" i="13"/>
  <c r="J30" i="13" s="1"/>
  <c r="J31" i="13" s="1"/>
  <c r="M44" i="13"/>
  <c r="L15" i="6"/>
  <c r="L17" i="6" s="1"/>
  <c r="J15" i="9"/>
  <c r="J15" i="10"/>
  <c r="J47" i="4"/>
  <c r="M44" i="5"/>
  <c r="K15" i="9"/>
  <c r="L17" i="11"/>
  <c r="L21" i="11" s="1"/>
  <c r="L25" i="11" s="1"/>
  <c r="L28" i="13"/>
  <c r="L30" i="13" s="1"/>
  <c r="L31" i="13" s="1"/>
  <c r="E41" i="4"/>
  <c r="K47" i="4"/>
  <c r="L47" i="11"/>
  <c r="M34" i="5"/>
  <c r="K47" i="5"/>
  <c r="S55" i="8"/>
  <c r="K36" i="12"/>
  <c r="K37" i="12" s="1"/>
  <c r="L28" i="12"/>
  <c r="L30" i="12" s="1"/>
  <c r="L31" i="12" s="1"/>
  <c r="M55" i="11"/>
  <c r="M34" i="4"/>
  <c r="M44" i="4"/>
  <c r="M45" i="5"/>
  <c r="M55" i="7"/>
  <c r="S51" i="7"/>
  <c r="M57" i="8"/>
  <c r="M44" i="12"/>
  <c r="L47" i="13"/>
  <c r="R10" i="3"/>
  <c r="E51" i="4"/>
  <c r="S53" i="4"/>
  <c r="S55" i="4"/>
  <c r="R45" i="4"/>
  <c r="S45" i="4" s="1"/>
  <c r="Q10" i="3"/>
  <c r="R44" i="4"/>
  <c r="S44" i="4" s="1"/>
  <c r="S52" i="4"/>
  <c r="S10" i="3"/>
  <c r="R41" i="4"/>
  <c r="R42" i="4"/>
  <c r="S42" i="4" s="1"/>
  <c r="S51" i="4"/>
  <c r="R43" i="4"/>
  <c r="S43" i="4" s="1"/>
  <c r="S54" i="4"/>
  <c r="L17" i="4"/>
  <c r="L33" i="4"/>
  <c r="L36" i="4" s="1"/>
  <c r="R11" i="3"/>
  <c r="E51" i="5"/>
  <c r="S53" i="5"/>
  <c r="S55" i="5"/>
  <c r="Q11" i="3"/>
  <c r="R44" i="5"/>
  <c r="S44" i="5" s="1"/>
  <c r="S52" i="5"/>
  <c r="R42" i="5"/>
  <c r="S42" i="5" s="1"/>
  <c r="S51" i="5"/>
  <c r="S54" i="5"/>
  <c r="S11" i="3"/>
  <c r="R45" i="5"/>
  <c r="S45" i="5" s="1"/>
  <c r="R41" i="5"/>
  <c r="R43" i="5"/>
  <c r="S43" i="5" s="1"/>
  <c r="K33" i="5"/>
  <c r="K36" i="5" s="1"/>
  <c r="K17" i="5"/>
  <c r="L33" i="5"/>
  <c r="L36" i="5" s="1"/>
  <c r="L17" i="5"/>
  <c r="L28" i="4"/>
  <c r="L30" i="4" s="1"/>
  <c r="L31" i="4" s="1"/>
  <c r="K28" i="5"/>
  <c r="K30" i="5" s="1"/>
  <c r="K31" i="5" s="1"/>
  <c r="M12" i="13"/>
  <c r="E41" i="13"/>
  <c r="L47" i="7"/>
  <c r="M44" i="7"/>
  <c r="K33" i="13"/>
  <c r="K36" i="13" s="1"/>
  <c r="K17" i="13"/>
  <c r="M39" i="5"/>
  <c r="S12" i="3"/>
  <c r="R45" i="6"/>
  <c r="S45" i="6" s="1"/>
  <c r="R41" i="6"/>
  <c r="S54" i="6"/>
  <c r="R43" i="6"/>
  <c r="S43" i="6" s="1"/>
  <c r="S53" i="6"/>
  <c r="S55" i="6"/>
  <c r="Q12" i="3"/>
  <c r="R44" i="6"/>
  <c r="S44" i="6" s="1"/>
  <c r="S51" i="6"/>
  <c r="R45" i="9"/>
  <c r="S45" i="9" s="1"/>
  <c r="J15" i="12"/>
  <c r="J28" i="12"/>
  <c r="J30" i="12" s="1"/>
  <c r="J31" i="12" s="1"/>
  <c r="L33" i="13"/>
  <c r="L36" i="13" s="1"/>
  <c r="L17" i="13"/>
  <c r="L47" i="5"/>
  <c r="S53" i="12"/>
  <c r="S55" i="12"/>
  <c r="Q18" i="3"/>
  <c r="R44" i="12"/>
  <c r="S44" i="12" s="1"/>
  <c r="S52" i="12"/>
  <c r="R42" i="12"/>
  <c r="S42" i="12" s="1"/>
  <c r="S51" i="12"/>
  <c r="S18" i="3"/>
  <c r="R45" i="12"/>
  <c r="S45" i="12" s="1"/>
  <c r="R41" i="12"/>
  <c r="S54" i="12"/>
  <c r="R18" i="3"/>
  <c r="E51" i="12"/>
  <c r="R43" i="9"/>
  <c r="S43" i="9" s="1"/>
  <c r="R15" i="3"/>
  <c r="E51" i="9"/>
  <c r="S53" i="9"/>
  <c r="S55" i="9"/>
  <c r="Q15" i="3"/>
  <c r="R44" i="9"/>
  <c r="S44" i="9" s="1"/>
  <c r="S52" i="9"/>
  <c r="R42" i="9"/>
  <c r="S42" i="9" s="1"/>
  <c r="S51" i="9"/>
  <c r="S54" i="9"/>
  <c r="L28" i="9"/>
  <c r="L30" i="9" s="1"/>
  <c r="L31" i="9" s="1"/>
  <c r="L15" i="9"/>
  <c r="R41" i="9"/>
  <c r="J28" i="11"/>
  <c r="J30" i="11" s="1"/>
  <c r="J31" i="11" s="1"/>
  <c r="J15" i="11"/>
  <c r="L33" i="12"/>
  <c r="L36" i="12" s="1"/>
  <c r="L17" i="12"/>
  <c r="M55" i="12"/>
  <c r="M39" i="12"/>
  <c r="K15" i="4"/>
  <c r="J15" i="5"/>
  <c r="J15" i="6"/>
  <c r="J47" i="6"/>
  <c r="K21" i="8"/>
  <c r="K15" i="11"/>
  <c r="K28" i="11"/>
  <c r="K30" i="11" s="1"/>
  <c r="K31" i="11" s="1"/>
  <c r="R17" i="3"/>
  <c r="E51" i="11"/>
  <c r="S53" i="11"/>
  <c r="S55" i="11"/>
  <c r="Q17" i="3"/>
  <c r="R44" i="11"/>
  <c r="S44" i="11" s="1"/>
  <c r="S52" i="11"/>
  <c r="R42" i="11"/>
  <c r="S42" i="11" s="1"/>
  <c r="S51" i="11"/>
  <c r="S17" i="3"/>
  <c r="R45" i="11"/>
  <c r="S45" i="11" s="1"/>
  <c r="R41" i="11"/>
  <c r="M55" i="13"/>
  <c r="M39" i="13"/>
  <c r="R16" i="3"/>
  <c r="E51" i="10"/>
  <c r="S53" i="10"/>
  <c r="S55" i="10"/>
  <c r="Q16" i="3"/>
  <c r="R44" i="10"/>
  <c r="S44" i="10" s="1"/>
  <c r="S52" i="10"/>
  <c r="R42" i="10"/>
  <c r="S42" i="10" s="1"/>
  <c r="S51" i="10"/>
  <c r="R43" i="10"/>
  <c r="S43" i="10" s="1"/>
  <c r="R45" i="10"/>
  <c r="S45" i="10" s="1"/>
  <c r="S54" i="10"/>
  <c r="J17" i="13"/>
  <c r="J47" i="9"/>
  <c r="M44" i="9"/>
  <c r="R41" i="10"/>
  <c r="S16" i="3"/>
  <c r="S54" i="11"/>
  <c r="K28" i="10"/>
  <c r="K30" i="10" s="1"/>
  <c r="K31" i="10" s="1"/>
  <c r="K15" i="10"/>
  <c r="M57" i="5"/>
  <c r="E51" i="6"/>
  <c r="L15" i="10"/>
  <c r="L28" i="10"/>
  <c r="L30" i="10" s="1"/>
  <c r="L31" i="10" s="1"/>
  <c r="M57" i="6"/>
  <c r="J47" i="8"/>
  <c r="M44" i="8"/>
  <c r="K17" i="12"/>
  <c r="J47" i="13"/>
  <c r="M12" i="7"/>
  <c r="R41" i="8"/>
  <c r="R45" i="8"/>
  <c r="S45" i="8" s="1"/>
  <c r="S14" i="3"/>
  <c r="J47" i="12"/>
  <c r="S53" i="13"/>
  <c r="K15" i="6"/>
  <c r="J15" i="7"/>
  <c r="S52" i="7"/>
  <c r="R42" i="8"/>
  <c r="S42" i="8" s="1"/>
  <c r="M57" i="11"/>
  <c r="R43" i="13"/>
  <c r="S43" i="13" s="1"/>
  <c r="R44" i="7"/>
  <c r="S44" i="7" s="1"/>
  <c r="Q13" i="3"/>
  <c r="S52" i="8"/>
  <c r="M55" i="8"/>
  <c r="M39" i="11"/>
  <c r="M57" i="12"/>
  <c r="S54" i="13"/>
  <c r="L15" i="7"/>
  <c r="S55" i="7"/>
  <c r="R44" i="8"/>
  <c r="S44" i="8" s="1"/>
  <c r="Q14" i="3"/>
  <c r="M55" i="9"/>
  <c r="M12" i="12"/>
  <c r="R41" i="13"/>
  <c r="R45" i="13"/>
  <c r="S45" i="13" s="1"/>
  <c r="S19" i="3"/>
  <c r="S53" i="7"/>
  <c r="E51" i="7"/>
  <c r="R13" i="3"/>
  <c r="S53" i="8"/>
  <c r="S51" i="13"/>
  <c r="E51" i="8"/>
  <c r="R14" i="3"/>
  <c r="R42" i="13"/>
  <c r="S42" i="13" s="1"/>
  <c r="R43" i="7"/>
  <c r="S43" i="7" s="1"/>
  <c r="S52" i="13"/>
  <c r="S54" i="7"/>
  <c r="R43" i="8"/>
  <c r="S43" i="8" s="1"/>
  <c r="R44" i="13"/>
  <c r="S44" i="13" s="1"/>
  <c r="Q19" i="3"/>
  <c r="R41" i="7"/>
  <c r="R45" i="7"/>
  <c r="S45" i="7" s="1"/>
  <c r="M47" i="8" l="1"/>
  <c r="J40" i="13"/>
  <c r="J41" i="13" s="1"/>
  <c r="M15" i="8"/>
  <c r="M47" i="12"/>
  <c r="L33" i="6"/>
  <c r="L36" i="6" s="1"/>
  <c r="L40" i="6" s="1"/>
  <c r="L41" i="6" s="1"/>
  <c r="J33" i="8"/>
  <c r="J36" i="8" s="1"/>
  <c r="J37" i="8" s="1"/>
  <c r="J22" i="8"/>
  <c r="M47" i="4"/>
  <c r="M28" i="5"/>
  <c r="M30" i="5" s="1"/>
  <c r="M31" i="5" s="1"/>
  <c r="M47" i="9"/>
  <c r="M28" i="9"/>
  <c r="M30" i="9" s="1"/>
  <c r="M31" i="9" s="1"/>
  <c r="M47" i="7"/>
  <c r="M15" i="6"/>
  <c r="M33" i="6" s="1"/>
  <c r="M36" i="6" s="1"/>
  <c r="M33" i="11"/>
  <c r="M36" i="11" s="1"/>
  <c r="E45" i="11" s="1"/>
  <c r="L43" i="11"/>
  <c r="L48" i="11" s="1"/>
  <c r="L51" i="11" s="1"/>
  <c r="M47" i="10"/>
  <c r="K33" i="8"/>
  <c r="K36" i="8" s="1"/>
  <c r="J22" i="4"/>
  <c r="M15" i="4"/>
  <c r="M17" i="4" s="1"/>
  <c r="M22" i="4" s="1"/>
  <c r="M47" i="11"/>
  <c r="M33" i="10"/>
  <c r="M36" i="10" s="1"/>
  <c r="M17" i="10"/>
  <c r="M21" i="10" s="1"/>
  <c r="M43" i="10" s="1"/>
  <c r="M47" i="5"/>
  <c r="L40" i="11"/>
  <c r="L41" i="11" s="1"/>
  <c r="M47" i="6"/>
  <c r="M28" i="10"/>
  <c r="M30" i="10" s="1"/>
  <c r="M31" i="10" s="1"/>
  <c r="J33" i="4"/>
  <c r="J36" i="4" s="1"/>
  <c r="M47" i="13"/>
  <c r="L22" i="11"/>
  <c r="J17" i="9"/>
  <c r="J33" i="9"/>
  <c r="J36" i="9" s="1"/>
  <c r="K21" i="7"/>
  <c r="K25" i="7" s="1"/>
  <c r="J17" i="10"/>
  <c r="J33" i="10"/>
  <c r="J36" i="10" s="1"/>
  <c r="K33" i="7"/>
  <c r="K36" i="7" s="1"/>
  <c r="K37" i="7" s="1"/>
  <c r="S56" i="8"/>
  <c r="S35" i="8" s="1"/>
  <c r="L17" i="8"/>
  <c r="L33" i="8"/>
  <c r="L36" i="8" s="1"/>
  <c r="S56" i="13"/>
  <c r="S35" i="13" s="1"/>
  <c r="S56" i="7"/>
  <c r="S35" i="7" s="1"/>
  <c r="S56" i="9"/>
  <c r="S35" i="9" s="1"/>
  <c r="K40" i="12"/>
  <c r="K41" i="12" s="1"/>
  <c r="M28" i="11"/>
  <c r="M30" i="11" s="1"/>
  <c r="M31" i="11" s="1"/>
  <c r="K17" i="9"/>
  <c r="K33" i="9"/>
  <c r="K36" i="9" s="1"/>
  <c r="R46" i="8"/>
  <c r="S32" i="8" s="1"/>
  <c r="S41" i="8"/>
  <c r="S46" i="8" s="1"/>
  <c r="S33" i="8" s="1"/>
  <c r="K43" i="8"/>
  <c r="K48" i="8" s="1"/>
  <c r="K25" i="8"/>
  <c r="L40" i="13"/>
  <c r="L41" i="13" s="1"/>
  <c r="L37" i="13"/>
  <c r="S41" i="6"/>
  <c r="S46" i="6" s="1"/>
  <c r="S33" i="6" s="1"/>
  <c r="R46" i="6"/>
  <c r="S32" i="6" s="1"/>
  <c r="L37" i="4"/>
  <c r="L40" i="4"/>
  <c r="L41" i="4" s="1"/>
  <c r="R46" i="10"/>
  <c r="S32" i="10" s="1"/>
  <c r="S41" i="10"/>
  <c r="S46" i="10" s="1"/>
  <c r="S33" i="10" s="1"/>
  <c r="L21" i="4"/>
  <c r="L22" i="4"/>
  <c r="M28" i="7"/>
  <c r="M30" i="7" s="1"/>
  <c r="M31" i="7" s="1"/>
  <c r="M15" i="7"/>
  <c r="L22" i="6"/>
  <c r="L21" i="6"/>
  <c r="J33" i="6"/>
  <c r="J36" i="6" s="1"/>
  <c r="J17" i="6"/>
  <c r="L37" i="5"/>
  <c r="L40" i="5"/>
  <c r="L41" i="5" s="1"/>
  <c r="M33" i="5"/>
  <c r="M36" i="5" s="1"/>
  <c r="M17" i="5"/>
  <c r="Q24" i="3"/>
  <c r="Q25" i="3"/>
  <c r="Q22" i="3"/>
  <c r="Q21" i="3"/>
  <c r="J33" i="5"/>
  <c r="J36" i="5" s="1"/>
  <c r="J17" i="5"/>
  <c r="R46" i="12"/>
  <c r="S32" i="12" s="1"/>
  <c r="S41" i="12"/>
  <c r="S46" i="12" s="1"/>
  <c r="S33" i="12" s="1"/>
  <c r="K21" i="5"/>
  <c r="K22" i="5"/>
  <c r="S56" i="5"/>
  <c r="S35" i="5" s="1"/>
  <c r="J40" i="8"/>
  <c r="J41" i="8" s="1"/>
  <c r="K21" i="12"/>
  <c r="K22" i="12"/>
  <c r="K33" i="4"/>
  <c r="K36" i="4" s="1"/>
  <c r="K17" i="4"/>
  <c r="J43" i="8"/>
  <c r="J48" i="8" s="1"/>
  <c r="J25" i="8"/>
  <c r="S56" i="6"/>
  <c r="S35" i="6" s="1"/>
  <c r="M33" i="8"/>
  <c r="M36" i="8" s="1"/>
  <c r="M17" i="8"/>
  <c r="K37" i="5"/>
  <c r="K40" i="5"/>
  <c r="K41" i="5" s="1"/>
  <c r="J21" i="13"/>
  <c r="J22" i="13"/>
  <c r="M21" i="11"/>
  <c r="M43" i="11" s="1"/>
  <c r="M22" i="11"/>
  <c r="K21" i="13"/>
  <c r="K22" i="13"/>
  <c r="M15" i="12"/>
  <c r="M28" i="12"/>
  <c r="M30" i="12" s="1"/>
  <c r="M31" i="12" s="1"/>
  <c r="R46" i="9"/>
  <c r="S32" i="9" s="1"/>
  <c r="S41" i="9"/>
  <c r="S46" i="9" s="1"/>
  <c r="S33" i="9" s="1"/>
  <c r="L21" i="5"/>
  <c r="L22" i="5"/>
  <c r="M37" i="11"/>
  <c r="K40" i="13"/>
  <c r="K41" i="13" s="1"/>
  <c r="K37" i="13"/>
  <c r="R24" i="3"/>
  <c r="R25" i="3"/>
  <c r="R21" i="3"/>
  <c r="R22" i="3"/>
  <c r="S56" i="4"/>
  <c r="S35" i="4" s="1"/>
  <c r="R46" i="13"/>
  <c r="S32" i="13" s="1"/>
  <c r="S41" i="13"/>
  <c r="S46" i="13" s="1"/>
  <c r="S33" i="13" s="1"/>
  <c r="L21" i="12"/>
  <c r="L22" i="12"/>
  <c r="L40" i="12"/>
  <c r="L41" i="12" s="1"/>
  <c r="L37" i="12"/>
  <c r="L33" i="9"/>
  <c r="L36" i="9" s="1"/>
  <c r="L17" i="9"/>
  <c r="M33" i="9"/>
  <c r="M36" i="9" s="1"/>
  <c r="M17" i="9"/>
  <c r="R46" i="7"/>
  <c r="S32" i="7" s="1"/>
  <c r="S41" i="7"/>
  <c r="S46" i="7" s="1"/>
  <c r="S33" i="7" s="1"/>
  <c r="J33" i="7"/>
  <c r="J36" i="7" s="1"/>
  <c r="J17" i="7"/>
  <c r="K33" i="6"/>
  <c r="K36" i="6" s="1"/>
  <c r="K17" i="6"/>
  <c r="R46" i="11"/>
  <c r="S32" i="11" s="1"/>
  <c r="S41" i="11"/>
  <c r="S46" i="11" s="1"/>
  <c r="S33" i="11" s="1"/>
  <c r="S56" i="10"/>
  <c r="S35" i="10" s="1"/>
  <c r="S56" i="12"/>
  <c r="S35" i="12" s="1"/>
  <c r="J33" i="11"/>
  <c r="J36" i="11" s="1"/>
  <c r="J17" i="11"/>
  <c r="M28" i="13"/>
  <c r="M30" i="13" s="1"/>
  <c r="M31" i="13" s="1"/>
  <c r="M15" i="13"/>
  <c r="R46" i="4"/>
  <c r="S32" i="4" s="1"/>
  <c r="S41" i="4"/>
  <c r="S46" i="4" s="1"/>
  <c r="S33" i="4" s="1"/>
  <c r="J43" i="4"/>
  <c r="J48" i="4" s="1"/>
  <c r="J25" i="4"/>
  <c r="J33" i="12"/>
  <c r="J36" i="12" s="1"/>
  <c r="J17" i="12"/>
  <c r="L17" i="7"/>
  <c r="L33" i="7"/>
  <c r="L36" i="7" s="1"/>
  <c r="K33" i="10"/>
  <c r="K36" i="10" s="1"/>
  <c r="K17" i="10"/>
  <c r="K33" i="11"/>
  <c r="K36" i="11" s="1"/>
  <c r="K17" i="11"/>
  <c r="L33" i="10"/>
  <c r="L36" i="10" s="1"/>
  <c r="L17" i="10"/>
  <c r="S56" i="11"/>
  <c r="S35" i="11" s="1"/>
  <c r="L21" i="13"/>
  <c r="L22" i="13"/>
  <c r="R46" i="5"/>
  <c r="S32" i="5" s="1"/>
  <c r="S41" i="5"/>
  <c r="S46" i="5" s="1"/>
  <c r="S33" i="5" s="1"/>
  <c r="S24" i="3"/>
  <c r="S21" i="3"/>
  <c r="S25" i="3"/>
  <c r="S22" i="3"/>
  <c r="M21" i="4" l="1"/>
  <c r="M43" i="4" s="1"/>
  <c r="M48" i="4" s="1"/>
  <c r="L37" i="6"/>
  <c r="M40" i="11"/>
  <c r="M17" i="6"/>
  <c r="M48" i="11"/>
  <c r="M51" i="11" s="1"/>
  <c r="M48" i="10"/>
  <c r="M49" i="10" s="1"/>
  <c r="M33" i="4"/>
  <c r="M36" i="4" s="1"/>
  <c r="L49" i="11"/>
  <c r="M22" i="10"/>
  <c r="K37" i="8"/>
  <c r="K40" i="8"/>
  <c r="K41" i="8" s="1"/>
  <c r="K43" i="7"/>
  <c r="K48" i="7" s="1"/>
  <c r="K49" i="7" s="1"/>
  <c r="S34" i="6"/>
  <c r="S36" i="6" s="1"/>
  <c r="E29" i="6" s="1"/>
  <c r="E30" i="6" s="1"/>
  <c r="E37" i="6" s="1"/>
  <c r="J37" i="4"/>
  <c r="J40" i="4"/>
  <c r="J41" i="4" s="1"/>
  <c r="M37" i="10"/>
  <c r="E45" i="10"/>
  <c r="M40" i="10"/>
  <c r="L37" i="8"/>
  <c r="L40" i="8"/>
  <c r="L41" i="8" s="1"/>
  <c r="L21" i="8"/>
  <c r="L22" i="8"/>
  <c r="J40" i="10"/>
  <c r="J41" i="10" s="1"/>
  <c r="J37" i="10"/>
  <c r="S34" i="11"/>
  <c r="S36" i="11" s="1"/>
  <c r="E29" i="11" s="1"/>
  <c r="E30" i="11" s="1"/>
  <c r="E37" i="11" s="1"/>
  <c r="K40" i="9"/>
  <c r="K41" i="9" s="1"/>
  <c r="K37" i="9"/>
  <c r="J22" i="10"/>
  <c r="J21" i="10"/>
  <c r="S34" i="7"/>
  <c r="S36" i="7" s="1"/>
  <c r="E29" i="7" s="1"/>
  <c r="E30" i="7" s="1"/>
  <c r="F8" i="2" s="1"/>
  <c r="S34" i="4"/>
  <c r="S36" i="4" s="1"/>
  <c r="E29" i="4" s="1"/>
  <c r="E30" i="4" s="1"/>
  <c r="G10" i="3" s="1"/>
  <c r="K22" i="9"/>
  <c r="K21" i="9"/>
  <c r="K40" i="7"/>
  <c r="K41" i="7" s="1"/>
  <c r="J40" i="9"/>
  <c r="J41" i="9" s="1"/>
  <c r="J37" i="9"/>
  <c r="S34" i="9"/>
  <c r="S36" i="9" s="1"/>
  <c r="E29" i="9" s="1"/>
  <c r="E30" i="9" s="1"/>
  <c r="E37" i="9" s="1"/>
  <c r="J22" i="9"/>
  <c r="J21" i="9"/>
  <c r="L43" i="5"/>
  <c r="L48" i="5" s="1"/>
  <c r="L25" i="5"/>
  <c r="K43" i="12"/>
  <c r="K48" i="12" s="1"/>
  <c r="K25" i="12"/>
  <c r="J22" i="6"/>
  <c r="J21" i="6"/>
  <c r="L22" i="9"/>
  <c r="L21" i="9"/>
  <c r="M49" i="4"/>
  <c r="M51" i="4"/>
  <c r="K37" i="6"/>
  <c r="K40" i="6"/>
  <c r="K41" i="6" s="1"/>
  <c r="J37" i="7"/>
  <c r="J40" i="7"/>
  <c r="J41" i="7" s="1"/>
  <c r="M33" i="12"/>
  <c r="M36" i="12" s="1"/>
  <c r="M17" i="12"/>
  <c r="M21" i="8"/>
  <c r="M43" i="8" s="1"/>
  <c r="M48" i="8" s="1"/>
  <c r="M22" i="8"/>
  <c r="M21" i="5"/>
  <c r="M43" i="5" s="1"/>
  <c r="M48" i="5" s="1"/>
  <c r="M22" i="5"/>
  <c r="K21" i="11"/>
  <c r="K22" i="11"/>
  <c r="M37" i="8"/>
  <c r="E45" i="8"/>
  <c r="M40" i="8"/>
  <c r="K43" i="5"/>
  <c r="K48" i="5" s="1"/>
  <c r="K25" i="5"/>
  <c r="E45" i="5"/>
  <c r="M40" i="5"/>
  <c r="M37" i="5"/>
  <c r="M51" i="10"/>
  <c r="K22" i="6"/>
  <c r="K21" i="6"/>
  <c r="L37" i="9"/>
  <c r="L40" i="9"/>
  <c r="L41" i="9" s="1"/>
  <c r="K37" i="10"/>
  <c r="K40" i="10"/>
  <c r="K41" i="10" s="1"/>
  <c r="M17" i="7"/>
  <c r="M33" i="7"/>
  <c r="M36" i="7" s="1"/>
  <c r="L37" i="10"/>
  <c r="L40" i="10"/>
  <c r="L41" i="10" s="1"/>
  <c r="J37" i="6"/>
  <c r="J40" i="6"/>
  <c r="J41" i="6" s="1"/>
  <c r="K37" i="11"/>
  <c r="K40" i="11"/>
  <c r="K41" i="11" s="1"/>
  <c r="K22" i="10"/>
  <c r="K21" i="10"/>
  <c r="J22" i="7"/>
  <c r="J21" i="7"/>
  <c r="L37" i="7"/>
  <c r="L40" i="7"/>
  <c r="L41" i="7" s="1"/>
  <c r="L25" i="12"/>
  <c r="L43" i="12"/>
  <c r="L48" i="12" s="1"/>
  <c r="J21" i="12"/>
  <c r="J22" i="12"/>
  <c r="E43" i="11"/>
  <c r="M41" i="11"/>
  <c r="M17" i="3" s="1"/>
  <c r="S34" i="12"/>
  <c r="S36" i="12" s="1"/>
  <c r="E29" i="12" s="1"/>
  <c r="E30" i="12" s="1"/>
  <c r="J37" i="12"/>
  <c r="J40" i="12"/>
  <c r="J41" i="12" s="1"/>
  <c r="M37" i="9"/>
  <c r="E45" i="9"/>
  <c r="M40" i="9"/>
  <c r="S34" i="13"/>
  <c r="S36" i="13" s="1"/>
  <c r="E29" i="13" s="1"/>
  <c r="E30" i="13" s="1"/>
  <c r="J51" i="8"/>
  <c r="J49" i="8"/>
  <c r="J22" i="5"/>
  <c r="J21" i="5"/>
  <c r="M37" i="6"/>
  <c r="E45" i="6"/>
  <c r="M40" i="6"/>
  <c r="S34" i="5"/>
  <c r="S36" i="5" s="1"/>
  <c r="E29" i="5" s="1"/>
  <c r="E30" i="5" s="1"/>
  <c r="J37" i="11"/>
  <c r="J40" i="11"/>
  <c r="J41" i="11" s="1"/>
  <c r="L25" i="13"/>
  <c r="L43" i="13"/>
  <c r="L48" i="13" s="1"/>
  <c r="M21" i="9"/>
  <c r="M43" i="9" s="1"/>
  <c r="M48" i="9" s="1"/>
  <c r="M22" i="9"/>
  <c r="K25" i="13"/>
  <c r="K43" i="13"/>
  <c r="K48" i="13" s="1"/>
  <c r="K22" i="4"/>
  <c r="K21" i="4"/>
  <c r="J37" i="5"/>
  <c r="J40" i="5"/>
  <c r="J41" i="5" s="1"/>
  <c r="M21" i="6"/>
  <c r="M43" i="6" s="1"/>
  <c r="M48" i="6" s="1"/>
  <c r="M22" i="6"/>
  <c r="L43" i="4"/>
  <c r="L48" i="4" s="1"/>
  <c r="L25" i="4"/>
  <c r="K51" i="8"/>
  <c r="K49" i="8"/>
  <c r="M33" i="13"/>
  <c r="M36" i="13" s="1"/>
  <c r="M17" i="13"/>
  <c r="J51" i="4"/>
  <c r="J49" i="4"/>
  <c r="K37" i="4"/>
  <c r="K40" i="4"/>
  <c r="K41" i="4" s="1"/>
  <c r="J43" i="13"/>
  <c r="J48" i="13" s="1"/>
  <c r="J25" i="13"/>
  <c r="L43" i="6"/>
  <c r="L48" i="6" s="1"/>
  <c r="L25" i="6"/>
  <c r="J22" i="11"/>
  <c r="J21" i="11"/>
  <c r="L22" i="7"/>
  <c r="L21" i="7"/>
  <c r="L21" i="10"/>
  <c r="L22" i="10"/>
  <c r="S34" i="10"/>
  <c r="S36" i="10" s="1"/>
  <c r="E29" i="10" s="1"/>
  <c r="E30" i="10" s="1"/>
  <c r="S34" i="8"/>
  <c r="S36" i="8" s="1"/>
  <c r="E29" i="8" s="1"/>
  <c r="E30" i="8" s="1"/>
  <c r="M49" i="11" l="1"/>
  <c r="F10" i="2"/>
  <c r="K51" i="7"/>
  <c r="G15" i="3"/>
  <c r="M37" i="4"/>
  <c r="M40" i="4"/>
  <c r="E45" i="4"/>
  <c r="F5" i="2"/>
  <c r="E37" i="4"/>
  <c r="E40" i="4" s="1"/>
  <c r="I10" i="3" s="1"/>
  <c r="E43" i="10"/>
  <c r="M41" i="10"/>
  <c r="M16" i="3" s="1"/>
  <c r="J43" i="9"/>
  <c r="J48" i="9" s="1"/>
  <c r="J25" i="9"/>
  <c r="G12" i="3"/>
  <c r="F7" i="2"/>
  <c r="G13" i="3"/>
  <c r="G17" i="3"/>
  <c r="J43" i="10"/>
  <c r="J48" i="10" s="1"/>
  <c r="J25" i="10"/>
  <c r="F12" i="2"/>
  <c r="K25" i="9"/>
  <c r="K43" i="9"/>
  <c r="K48" i="9" s="1"/>
  <c r="L43" i="8"/>
  <c r="L48" i="8" s="1"/>
  <c r="L25" i="8"/>
  <c r="M25" i="8" s="1"/>
  <c r="E37" i="7"/>
  <c r="H13" i="3" s="1"/>
  <c r="E37" i="12"/>
  <c r="G18" i="3"/>
  <c r="F13" i="2"/>
  <c r="K43" i="10"/>
  <c r="K48" i="10" s="1"/>
  <c r="K25" i="10"/>
  <c r="M37" i="7"/>
  <c r="E45" i="7"/>
  <c r="M40" i="7"/>
  <c r="J43" i="6"/>
  <c r="J48" i="6" s="1"/>
  <c r="J25" i="6"/>
  <c r="J43" i="11"/>
  <c r="J48" i="11" s="1"/>
  <c r="J25" i="11"/>
  <c r="M41" i="8"/>
  <c r="M14" i="3" s="1"/>
  <c r="E43" i="8"/>
  <c r="E45" i="12"/>
  <c r="M40" i="12"/>
  <c r="M37" i="12"/>
  <c r="K49" i="12"/>
  <c r="K51" i="12"/>
  <c r="E37" i="10"/>
  <c r="F11" i="2"/>
  <c r="G16" i="3"/>
  <c r="F6" i="2"/>
  <c r="E37" i="5"/>
  <c r="G11" i="3"/>
  <c r="E43" i="9"/>
  <c r="M41" i="9"/>
  <c r="M15" i="3" s="1"/>
  <c r="J43" i="12"/>
  <c r="J48" i="12" s="1"/>
  <c r="J25" i="12"/>
  <c r="M25" i="12" s="1"/>
  <c r="L49" i="5"/>
  <c r="L51" i="5"/>
  <c r="M51" i="6"/>
  <c r="M49" i="6"/>
  <c r="M21" i="7"/>
  <c r="M43" i="7" s="1"/>
  <c r="M48" i="7" s="1"/>
  <c r="M22" i="7"/>
  <c r="L51" i="6"/>
  <c r="L49" i="6"/>
  <c r="E42" i="9"/>
  <c r="J15" i="3" s="1"/>
  <c r="E40" i="9"/>
  <c r="I15" i="3" s="1"/>
  <c r="H15" i="3"/>
  <c r="E44" i="9"/>
  <c r="K15" i="3" s="1"/>
  <c r="G10" i="2"/>
  <c r="L49" i="12"/>
  <c r="L51" i="12"/>
  <c r="K43" i="6"/>
  <c r="K48" i="6" s="1"/>
  <c r="K25" i="6"/>
  <c r="E37" i="8"/>
  <c r="G14" i="3"/>
  <c r="F9" i="2"/>
  <c r="E37" i="13"/>
  <c r="F14" i="2"/>
  <c r="G19" i="3"/>
  <c r="E44" i="6"/>
  <c r="K12" i="3" s="1"/>
  <c r="E42" i="6"/>
  <c r="J12" i="3" s="1"/>
  <c r="E40" i="6"/>
  <c r="I12" i="3" s="1"/>
  <c r="G7" i="2"/>
  <c r="H12" i="3"/>
  <c r="E47" i="11"/>
  <c r="E46" i="11"/>
  <c r="O17" i="3" s="1"/>
  <c r="M25" i="13"/>
  <c r="K49" i="13"/>
  <c r="K51" i="13"/>
  <c r="M40" i="13"/>
  <c r="E45" i="13"/>
  <c r="M37" i="13"/>
  <c r="M41" i="6"/>
  <c r="M12" i="3" s="1"/>
  <c r="E43" i="6"/>
  <c r="L43" i="7"/>
  <c r="L48" i="7" s="1"/>
  <c r="L25" i="7"/>
  <c r="E47" i="10"/>
  <c r="E46" i="10"/>
  <c r="O16" i="3" s="1"/>
  <c r="E47" i="4"/>
  <c r="E46" i="4"/>
  <c r="O10" i="3" s="1"/>
  <c r="E42" i="11"/>
  <c r="J17" i="3" s="1"/>
  <c r="E40" i="11"/>
  <c r="I17" i="3" s="1"/>
  <c r="E44" i="11"/>
  <c r="K17" i="3" s="1"/>
  <c r="G12" i="2"/>
  <c r="H17" i="3"/>
  <c r="M49" i="8"/>
  <c r="M51" i="8"/>
  <c r="K49" i="5"/>
  <c r="K51" i="5"/>
  <c r="J49" i="13"/>
  <c r="J51" i="13"/>
  <c r="L43" i="10"/>
  <c r="L48" i="10" s="1"/>
  <c r="L25" i="10"/>
  <c r="K43" i="11"/>
  <c r="K48" i="11" s="1"/>
  <c r="K25" i="11"/>
  <c r="M21" i="12"/>
  <c r="M43" i="12" s="1"/>
  <c r="M48" i="12" s="1"/>
  <c r="M22" i="12"/>
  <c r="K43" i="4"/>
  <c r="K48" i="4" s="1"/>
  <c r="K25" i="4"/>
  <c r="M25" i="4" s="1"/>
  <c r="M21" i="13"/>
  <c r="M43" i="13" s="1"/>
  <c r="M48" i="13" s="1"/>
  <c r="M22" i="13"/>
  <c r="M49" i="9"/>
  <c r="M51" i="9"/>
  <c r="J43" i="5"/>
  <c r="J48" i="5" s="1"/>
  <c r="J25" i="5"/>
  <c r="M25" i="5" s="1"/>
  <c r="J43" i="7"/>
  <c r="J48" i="7" s="1"/>
  <c r="J25" i="7"/>
  <c r="L43" i="9"/>
  <c r="L48" i="9" s="1"/>
  <c r="L25" i="9"/>
  <c r="L49" i="4"/>
  <c r="L51" i="4"/>
  <c r="L49" i="13"/>
  <c r="L51" i="13"/>
  <c r="E43" i="5"/>
  <c r="M41" i="5"/>
  <c r="M11" i="3" s="1"/>
  <c r="M49" i="5"/>
  <c r="M51" i="5"/>
  <c r="E42" i="4" l="1"/>
  <c r="J10" i="3" s="1"/>
  <c r="E44" i="4"/>
  <c r="K10" i="3" s="1"/>
  <c r="G8" i="2"/>
  <c r="E40" i="7"/>
  <c r="I13" i="3" s="1"/>
  <c r="H10" i="3"/>
  <c r="M25" i="10"/>
  <c r="E44" i="7"/>
  <c r="K13" i="3" s="1"/>
  <c r="M41" i="4"/>
  <c r="M10" i="3" s="1"/>
  <c r="E43" i="4"/>
  <c r="G5" i="2"/>
  <c r="M25" i="7"/>
  <c r="E42" i="7"/>
  <c r="J13" i="3" s="1"/>
  <c r="M25" i="6"/>
  <c r="L49" i="8"/>
  <c r="L51" i="8"/>
  <c r="K51" i="9"/>
  <c r="K49" i="9"/>
  <c r="J49" i="10"/>
  <c r="J51" i="10"/>
  <c r="M25" i="11"/>
  <c r="M25" i="9"/>
  <c r="J51" i="9"/>
  <c r="J49" i="9"/>
  <c r="J51" i="7"/>
  <c r="J49" i="7"/>
  <c r="K49" i="11"/>
  <c r="K51" i="11"/>
  <c r="E47" i="8"/>
  <c r="E46" i="8"/>
  <c r="O14" i="3" s="1"/>
  <c r="L51" i="7"/>
  <c r="L49" i="7"/>
  <c r="G6" i="2"/>
  <c r="H11" i="3"/>
  <c r="E42" i="5"/>
  <c r="J11" i="3" s="1"/>
  <c r="E40" i="5"/>
  <c r="I11" i="3" s="1"/>
  <c r="E44" i="5"/>
  <c r="K11" i="3" s="1"/>
  <c r="J49" i="5"/>
  <c r="J51" i="5"/>
  <c r="K51" i="6"/>
  <c r="K49" i="6"/>
  <c r="J51" i="6"/>
  <c r="J49" i="6"/>
  <c r="E47" i="6"/>
  <c r="E46" i="6"/>
  <c r="O12" i="3" s="1"/>
  <c r="E42" i="10"/>
  <c r="J16" i="3" s="1"/>
  <c r="E40" i="10"/>
  <c r="I16" i="3" s="1"/>
  <c r="E44" i="10"/>
  <c r="K16" i="3" s="1"/>
  <c r="G11" i="2"/>
  <c r="H16" i="3"/>
  <c r="M41" i="7"/>
  <c r="M13" i="3" s="1"/>
  <c r="E43" i="7"/>
  <c r="E44" i="8"/>
  <c r="K14" i="3" s="1"/>
  <c r="E42" i="8"/>
  <c r="J14" i="3" s="1"/>
  <c r="H14" i="3"/>
  <c r="G9" i="2"/>
  <c r="E40" i="8"/>
  <c r="I14" i="3" s="1"/>
  <c r="E47" i="9"/>
  <c r="E46" i="9"/>
  <c r="O15" i="3" s="1"/>
  <c r="J49" i="11"/>
  <c r="J51" i="11"/>
  <c r="J49" i="12"/>
  <c r="J51" i="12"/>
  <c r="E43" i="12"/>
  <c r="M41" i="12"/>
  <c r="M18" i="3" s="1"/>
  <c r="K49" i="10"/>
  <c r="K51" i="10"/>
  <c r="E47" i="5"/>
  <c r="E46" i="5"/>
  <c r="O11" i="3" s="1"/>
  <c r="E43" i="13"/>
  <c r="M41" i="13"/>
  <c r="M19" i="3" s="1"/>
  <c r="L49" i="10"/>
  <c r="L51" i="10"/>
  <c r="K49" i="4"/>
  <c r="K51" i="4"/>
  <c r="L49" i="9"/>
  <c r="L51" i="9"/>
  <c r="M49" i="12"/>
  <c r="M51" i="12"/>
  <c r="E42" i="13"/>
  <c r="J19" i="3" s="1"/>
  <c r="E40" i="13"/>
  <c r="I19" i="3" s="1"/>
  <c r="E44" i="13"/>
  <c r="K19" i="3" s="1"/>
  <c r="H19" i="3"/>
  <c r="G14" i="2"/>
  <c r="M51" i="7"/>
  <c r="M49" i="7"/>
  <c r="M51" i="13"/>
  <c r="M49" i="13"/>
  <c r="E42" i="12"/>
  <c r="J18" i="3" s="1"/>
  <c r="E40" i="12"/>
  <c r="I18" i="3" s="1"/>
  <c r="E44" i="12"/>
  <c r="K18" i="3" s="1"/>
  <c r="H18" i="3"/>
  <c r="G13" i="2"/>
  <c r="K21" i="3" l="1"/>
  <c r="J22" i="3"/>
  <c r="I22" i="3"/>
  <c r="K22" i="3"/>
  <c r="I21" i="3"/>
  <c r="E47" i="12"/>
  <c r="E46" i="12"/>
  <c r="O18" i="3" s="1"/>
  <c r="E47" i="13"/>
  <c r="E46" i="13"/>
  <c r="O19" i="3" s="1"/>
  <c r="J25" i="3"/>
  <c r="E47" i="7"/>
  <c r="E46" i="7"/>
  <c r="O13" i="3" s="1"/>
  <c r="J21" i="3"/>
  <c r="M22" i="3"/>
  <c r="M24" i="3"/>
  <c r="M21" i="3"/>
  <c r="M25" i="3"/>
  <c r="K25" i="3"/>
  <c r="K24" i="3"/>
  <c r="I25" i="3"/>
  <c r="I24" i="3"/>
  <c r="J24" i="3"/>
  <c r="O22" i="3" l="1"/>
  <c r="O24" i="3"/>
  <c r="O25" i="3"/>
  <c r="O21" i="3"/>
</calcChain>
</file>

<file path=xl/sharedStrings.xml><?xml version="1.0" encoding="utf-8"?>
<sst xmlns="http://schemas.openxmlformats.org/spreadsheetml/2006/main" count="1618" uniqueCount="234">
  <si>
    <t>BMP Precedent Transactions Summary</t>
  </si>
  <si>
    <t>Line item</t>
  </si>
  <si>
    <t>Method / context</t>
  </si>
  <si>
    <t>Output</t>
  </si>
  <si>
    <t>Assumptions and result</t>
  </si>
  <si>
    <t>Company</t>
  </si>
  <si>
    <t>Binh Minh Plastics (BMP)</t>
  </si>
  <si>
    <t>Current price</t>
  </si>
  <si>
    <t>Market input</t>
  </si>
  <si>
    <t>VND 135.2k/share</t>
  </si>
  <si>
    <t>Precedent output</t>
  </si>
  <si>
    <t>Premium-implied value</t>
  </si>
  <si>
    <t>Important note</t>
  </si>
  <si>
    <t>Analytical use only</t>
  </si>
  <si>
    <t>Not investment advice</t>
  </si>
  <si>
    <t>(VND in millions)</t>
  </si>
  <si>
    <t>List of Comparable Acquisitions</t>
  </si>
  <si>
    <t>Date</t>
  </si>
  <si>
    <t>Transaction</t>
  </si>
  <si>
    <t>Equity</t>
  </si>
  <si>
    <t>Enterprise</t>
  </si>
  <si>
    <t xml:space="preserve">LTM </t>
  </si>
  <si>
    <t>Announced</t>
  </si>
  <si>
    <t>Acquirer</t>
  </si>
  <si>
    <t>Target</t>
  </si>
  <si>
    <t>Type</t>
  </si>
  <si>
    <t>Target Business Description</t>
  </si>
  <si>
    <t>Value</t>
  </si>
  <si>
    <t xml:space="preserve"> Sales</t>
  </si>
  <si>
    <t>Công ty Cổ phần Nhựa Bình Minh (BMP)</t>
  </si>
  <si>
    <t>Precedent Transactions Analysis</t>
  </si>
  <si>
    <t>Enterprise Value /</t>
  </si>
  <si>
    <t>LTM</t>
  </si>
  <si>
    <t>Equity Value /</t>
  </si>
  <si>
    <t>Premiums Paid</t>
  </si>
  <si>
    <t>Purchase</t>
  </si>
  <si>
    <t>EBITDA</t>
  </si>
  <si>
    <t>Days Prior to Unaffected</t>
  </si>
  <si>
    <t>Consideration</t>
  </si>
  <si>
    <t>Sales</t>
  </si>
  <si>
    <t>EBIT</t>
  </si>
  <si>
    <t>Margin</t>
  </si>
  <si>
    <t>Net Income</t>
  </si>
  <si>
    <t>1</t>
  </si>
  <si>
    <t>7</t>
  </si>
  <si>
    <t>30</t>
  </si>
  <si>
    <t>Mean</t>
  </si>
  <si>
    <t>Median</t>
  </si>
  <si>
    <t>High</t>
  </si>
  <si>
    <t>Low</t>
  </si>
  <si>
    <t>Source: Company filings</t>
  </si>
  <si>
    <t>Input Page</t>
  </si>
  <si>
    <t>(VND in millions, except per share data)</t>
  </si>
  <si>
    <t>General Information</t>
  </si>
  <si>
    <t>Reported Income Statement</t>
  </si>
  <si>
    <t>Target Description</t>
  </si>
  <si>
    <t>Công ty Cổ phần Nhựa Bình Minh</t>
  </si>
  <si>
    <t>Prior</t>
  </si>
  <si>
    <t xml:space="preserve">Current </t>
  </si>
  <si>
    <t>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t>
  </si>
  <si>
    <t xml:space="preserve">   Ticker</t>
  </si>
  <si>
    <t>BMP</t>
  </si>
  <si>
    <t>FYE</t>
  </si>
  <si>
    <t>Stub</t>
  </si>
  <si>
    <t xml:space="preserve">   Fiscal Year Ending</t>
  </si>
  <si>
    <t xml:space="preserve">   Marginal Tax Rate</t>
  </si>
  <si>
    <t>COGS</t>
  </si>
  <si>
    <t>Nawaplastic Industries (SCG)</t>
  </si>
  <si>
    <t xml:space="preserve">   Gross Profit</t>
  </si>
  <si>
    <t>SCG</t>
  </si>
  <si>
    <t>SG&amp;A</t>
  </si>
  <si>
    <t>Other Expense / (Income)</t>
  </si>
  <si>
    <t>Acquirer Description</t>
  </si>
  <si>
    <t xml:space="preserve">   EBIT</t>
  </si>
  <si>
    <t>Date Announced</t>
  </si>
  <si>
    <t>Interest Expense</t>
  </si>
  <si>
    <t xml:space="preserve">Date Effective </t>
  </si>
  <si>
    <t xml:space="preserve">   Pre-tax Income</t>
  </si>
  <si>
    <t>Transaction Type</t>
  </si>
  <si>
    <t>Majority stake acquisition</t>
  </si>
  <si>
    <t>Income Taxes</t>
  </si>
  <si>
    <t>Purchase Consideration</t>
  </si>
  <si>
    <t>Cash</t>
  </si>
  <si>
    <t>Noncontrolling Interest</t>
  </si>
  <si>
    <t>Preferred Dividends</t>
  </si>
  <si>
    <t>Calculation of Equity and Enterprise Value</t>
  </si>
  <si>
    <t xml:space="preserve">   Net Income</t>
  </si>
  <si>
    <t>Offer Price per Share</t>
  </si>
  <si>
    <t xml:space="preserve">   Effective Tax Rate</t>
  </si>
  <si>
    <t>Comments</t>
  </si>
  <si>
    <t>Cash Offer Price per Share</t>
  </si>
  <si>
    <t>Listed-company transaction proxy using public offer price/stake disclosure and latest available financials in the model. Source: https://vir.com.vn/nawaplastic-acquires-majority-interest-in-binh-minh-plastics-58430.html</t>
  </si>
  <si>
    <t>Stock Offer Price per Share</t>
  </si>
  <si>
    <t>Weighted Avg. Diluted Shares</t>
  </si>
  <si>
    <t xml:space="preserve">Exchange Ratio </t>
  </si>
  <si>
    <t>Diluted EPS</t>
  </si>
  <si>
    <t xml:space="preserve"> </t>
  </si>
  <si>
    <t xml:space="preserve">   Offer Price per Share</t>
  </si>
  <si>
    <t>Adjusted Income Statement</t>
  </si>
  <si>
    <t>Reported Gross Profit</t>
  </si>
  <si>
    <t>Fully Diluted Shares Outstanding</t>
  </si>
  <si>
    <t>Non-recurring Items in COGS</t>
  </si>
  <si>
    <t xml:space="preserve">   Implied Equity Value</t>
  </si>
  <si>
    <t xml:space="preserve">   Adjusted Gross Profit</t>
  </si>
  <si>
    <t>Calculation of Fully Diluted Shares Outstanding</t>
  </si>
  <si>
    <t xml:space="preserve">   % margin</t>
  </si>
  <si>
    <t>Basic Shares Outstanding</t>
  </si>
  <si>
    <t>Implied Enterprise Value</t>
  </si>
  <si>
    <t>Plus: Shares from In-the-Money Options</t>
  </si>
  <si>
    <t>Plus: Total Debt</t>
  </si>
  <si>
    <t>Reported EBIT</t>
  </si>
  <si>
    <t>Less: Shares Repurchased from Option Proceeds</t>
  </si>
  <si>
    <t>Plus: Preferred Stock</t>
  </si>
  <si>
    <t xml:space="preserve">   Net New Shares from Options</t>
  </si>
  <si>
    <t>Plus: Noncontrolling Interest</t>
  </si>
  <si>
    <t>Other Non-recurring Items</t>
  </si>
  <si>
    <t>Plus: Shares from Convertible Securities</t>
  </si>
  <si>
    <t>Less: Cash and Cash Equivalents</t>
  </si>
  <si>
    <t xml:space="preserve">   Adjusted EBIT</t>
  </si>
  <si>
    <t xml:space="preserve">   Fully Diluted Shares Outstanding</t>
  </si>
  <si>
    <t xml:space="preserve">   Implied Enterprise Value</t>
  </si>
  <si>
    <t>Options/Warrants</t>
  </si>
  <si>
    <t>LTM Transaction Multiples</t>
  </si>
  <si>
    <t>Depreciation &amp; Amortization</t>
  </si>
  <si>
    <t>Number of</t>
  </si>
  <si>
    <t>Exercise</t>
  </si>
  <si>
    <t>In-the-Money</t>
  </si>
  <si>
    <t>EV/Sales</t>
  </si>
  <si>
    <t xml:space="preserve">   Adjusted EBITDA</t>
  </si>
  <si>
    <t>Tranche</t>
  </si>
  <si>
    <t>Shares</t>
  </si>
  <si>
    <t>Price</t>
  </si>
  <si>
    <t>Proceeds</t>
  </si>
  <si>
    <t xml:space="preserve">   Metric</t>
  </si>
  <si>
    <t>Batch 1</t>
  </si>
  <si>
    <t>EV/EBITDA</t>
  </si>
  <si>
    <t>Batch 2</t>
  </si>
  <si>
    <t>Reported Net Income</t>
  </si>
  <si>
    <t>Batch 3</t>
  </si>
  <si>
    <t>EV/EBIT</t>
  </si>
  <si>
    <t>Batch 4</t>
  </si>
  <si>
    <t>Batch 5</t>
  </si>
  <si>
    <t>P/E</t>
  </si>
  <si>
    <t>Non-operating Non-rec. Items</t>
  </si>
  <si>
    <t xml:space="preserve">   Total</t>
  </si>
  <si>
    <t xml:space="preserve">Tax Adjustment </t>
  </si>
  <si>
    <t xml:space="preserve">   Adjusted Net Income</t>
  </si>
  <si>
    <t>Convertible Securities</t>
  </si>
  <si>
    <t xml:space="preserve">Premiums Paid </t>
  </si>
  <si>
    <t>Conversion</t>
  </si>
  <si>
    <t xml:space="preserve">Conversion </t>
  </si>
  <si>
    <t xml:space="preserve">New </t>
  </si>
  <si>
    <t>Transaction Announcement</t>
  </si>
  <si>
    <t>Premium</t>
  </si>
  <si>
    <t>Amount</t>
  </si>
  <si>
    <t>Ratio</t>
  </si>
  <si>
    <t>1 Day Prior</t>
  </si>
  <si>
    <t>Adjusted Diluted EPS</t>
  </si>
  <si>
    <t>Issue 1</t>
  </si>
  <si>
    <t>Unaffected Share Price</t>
  </si>
  <si>
    <t>Issue 2</t>
  </si>
  <si>
    <t>Cash Flow Statement Data</t>
  </si>
  <si>
    <t>Issue 3</t>
  </si>
  <si>
    <t>7 Days Prior</t>
  </si>
  <si>
    <t>Issue 4</t>
  </si>
  <si>
    <t>30 Days Prior</t>
  </si>
  <si>
    <t xml:space="preserve">   % sales</t>
  </si>
  <si>
    <t>Issue 5</t>
  </si>
  <si>
    <t>Capital Expenditures</t>
  </si>
  <si>
    <t>Source Documents</t>
  </si>
  <si>
    <t>Period</t>
  </si>
  <si>
    <t>Date Filed</t>
  </si>
  <si>
    <t>Public source</t>
  </si>
  <si>
    <t>Notes</t>
  </si>
  <si>
    <t>Source: https://vir.com.vn/nawaplastic-acquires-majority-interest-in-binh-minh-plastics-58430.html</t>
  </si>
  <si>
    <t>LTM line items may be proxied when public target financials were not disclosed.</t>
  </si>
  <si>
    <t>(3)  [to come]</t>
  </si>
  <si>
    <t>(4)  [to come]</t>
  </si>
  <si>
    <t>(5)  [to come]</t>
  </si>
  <si>
    <t>Tender offer</t>
  </si>
  <si>
    <t>Listed-company transaction proxy using public offer price/stake disclosure and latest available financials in the model. Source: https://www.marketscreener.com/quote/stock/BINH-MINH-PLASTICS-20705831/news/Binh-Minh-Plastics-Nawaplastic-Industries-Co-Ltd-made-an-offer-to-acquire-additional-24-13-stak-34737610/</t>
  </si>
  <si>
    <t>Source: https://www.marketscreener.com/quote/stock/BINH-MINH-PLASTICS-20705831/news/Binh-Minh-Plastics-Nawaplastic-Industries-Co-Ltd-made-an-offer-to-acquire-additional-24-13-stak-34737610/</t>
  </si>
  <si>
    <t>Follow-on purchase</t>
  </si>
  <si>
    <t>Listed-company transaction proxy using public offer price/stake disclosure and latest available financials in the model. Source: https://www.marketscreener.com/quote/stock/BINH-MINH-PLASTICS-20705831/news/Binh-Minh-Plastics-Nawaplastic-Industries-Co-Ltd-completed-the-acquisition-of-24-13-stake-in-Bi-34690914/</t>
  </si>
  <si>
    <t>Source: https://www.marketscreener.com/quote/stock/BINH-MINH-PLASTICS-20705831/news/Binh-Minh-Plastics-Nawaplastic-Industries-Co-Ltd-completed-the-acquisition-of-24-13-stake-in-Bi-34690914/</t>
  </si>
  <si>
    <t>Prime Group</t>
  </si>
  <si>
    <t>Vietnam building materials and ceramic tile manufacturer.</t>
  </si>
  <si>
    <t>Prime</t>
  </si>
  <si>
    <t>Majority acquisition</t>
  </si>
  <si>
    <t>Public deal value from source; LTM line items proxied from disclosed transaction multiples/sector margins where full target LTM financials were not disclosed. Source: https://www.reuters.com/article/scg-vietnam/scg-to-buy-vietnams-prime-group-for-240-million-idUSL4N09T3FR20121218/</t>
  </si>
  <si>
    <t>Source: https://www.reuters.com/article/scg-vietnam/scg-to-buy-vietnams-prime-group-for-240-million-idUSL4N09T3FR20121218/</t>
  </si>
  <si>
    <t>Vietnam Construction Materials</t>
  </si>
  <si>
    <t>Integrated cement and building materials platform in Vietnam.</t>
  </si>
  <si>
    <t>VCM</t>
  </si>
  <si>
    <t>SCG Cement-Building Materials</t>
  </si>
  <si>
    <t>Acquisition</t>
  </si>
  <si>
    <t>Public deal value from source; LTM line items proxied from disclosed transaction multiples/sector margins where full target LTM financials were not disclosed. Source: https://www.cemnet.com/News/story/161267/scg-cement-buys-vietnam-construction-materials.html</t>
  </si>
  <si>
    <t>Source: https://www.cemnet.com/News/story/161267/scg-cement-buys-vietnam-construction-materials.html</t>
  </si>
  <si>
    <t>Bien Hoa Packaging (SVI)</t>
  </si>
  <si>
    <t>Vietnam industrial packaging company.</t>
  </si>
  <si>
    <t>SVI</t>
  </si>
  <si>
    <t>Thai Containers Group / SCGP</t>
  </si>
  <si>
    <t>SCGP</t>
  </si>
  <si>
    <t>Public deal value from source; LTM line items proxied from disclosed transaction multiples/sector margins where full target LTM financials were not disclosed. Source: https://vietnamnews.vn/economy/1594665/foreign-packaging-enterprises-increase-presense-in-vn-via-m-a.html</t>
  </si>
  <si>
    <t>Source: https://vietnamnews.vn/economy/1594665/foreign-packaging-enterprises-increase-presense-in-vn-via-m-a.html</t>
  </si>
  <si>
    <t>Peer set / transaction set</t>
  </si>
  <si>
    <t>Listed peer companies and disclosed transaction comparables</t>
  </si>
  <si>
    <t>Comparable multiples, precedent premiums, and market-based valuation checks.</t>
  </si>
  <si>
    <t>Template</t>
  </si>
  <si>
    <t>SV- Precedent Transactions_Template.xlsx; disclosed transaction comparables; HoSE/SSI market data; analyst work compiled June 2026.</t>
  </si>
  <si>
    <t>Original model tabs, formulas, and output structures retained from the selected valuation template.</t>
  </si>
  <si>
    <t>Analyst work</t>
  </si>
  <si>
    <t>NVTH valuation model, compiled June 2026</t>
  </si>
  <si>
    <t>Forecast assumptions, normalization choices, method weighting, and final summary interpretation.</t>
  </si>
  <si>
    <t>Precedent transaction check</t>
  </si>
  <si>
    <t>Sources and Calibration Notes</t>
  </si>
  <si>
    <t>Market price anchor</t>
  </si>
  <si>
    <t>Spot/current price input embedded in model workbook as of compilation date.</t>
  </si>
  <si>
    <t>Use limitation</t>
  </si>
  <si>
    <t>Control-premium method using selected transaction premium assumptions.</t>
  </si>
  <si>
    <t>Reference price used to translate control premium into implied value.</t>
  </si>
  <si>
    <t>Approx. VND 152.8k/share</t>
  </si>
  <si>
    <t>Median selected premium 13.0%; one-day/one-week checks sit below the headline control premium.</t>
  </si>
  <si>
    <t>Scenario role</t>
  </si>
  <si>
    <t>Control-value case</t>
  </si>
  <si>
    <t>Strategic/control case</t>
  </si>
  <si>
    <t>BMP precedent uses a moderate 13.0% selected control premium, intentionally above the sponsor LBO because a strategic acquirer can underwrite control/synergy value.</t>
  </si>
  <si>
    <t>Interpretation</t>
  </si>
  <si>
    <t>Acquirer lens</t>
  </si>
  <si>
    <t>Above LBO when strategic value matters</t>
  </si>
  <si>
    <t>Precedent value should usually sit above a sponsor LBO when strategic buyers can underwrite synergies or lower return hurdles.</t>
  </si>
  <si>
    <t>Refresh transaction sample, unaffected prices, premiums, and current market price before use.</t>
  </si>
  <si>
    <t>Scenario calibration</t>
  </si>
  <si>
    <t>Analytical use only; refresh market data, financials, peer set, WACC, multiples, leverage, and transaction premiums before investment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</si>
</sst>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 _(&quot;$&quot;#,##0_);* \(&quot;$&quot;#,##0\);* _(&quot;-&quot;?_);_(@_)"/>
    <numFmt numFmtId="165" formatCode="* _(#,##0_);* \(#,##0\);* _(&quot;-&quot;?_);_(@_)"/>
    <numFmt numFmtId="166" formatCode="0.0\x"/>
    <numFmt numFmtId="167" formatCode="0.0%"/>
    <numFmt numFmtId="168" formatCode="&quot;$&quot;#,##0.0_);[Red]\(&quot;$&quot;#,##0.0\)"/>
    <numFmt numFmtId="169" formatCode="0.0"/>
    <numFmt numFmtId="170" formatCode="&quot;$&quot;#,##0_);[Red]\(&quot;$&quot;#,##0\)"/>
    <numFmt numFmtId="171" formatCode="* _(&quot;$&quot;#,##0.0_);* \(&quot;$&quot;#,##0.0\);* _(&quot;-&quot;?_);_(@_)"/>
    <numFmt numFmtId="172" formatCode="* _(##,##0.0_);* \(##,##0.0\);* _(&quot;-&quot;?_);_(@_)"/>
    <numFmt numFmtId="173" formatCode="* _(##,##0.0_);[Red]* \(##,##0.0\);* _(&quot;-&quot;?_);_(@_)"/>
    <numFmt numFmtId="174" formatCode="mmm\-dd"/>
    <numFmt numFmtId="175" formatCode="* _(#,##0.0%_);* \(#,##0.0%\);* _(&quot;-&quot;?_);_(@_)"/>
    <numFmt numFmtId="176" formatCode="* _(&quot;$&quot;#,##0.00_);* \(&quot;$&quot;#,##0.00\);* _(&quot;-&quot;?_);_(@_)"/>
    <numFmt numFmtId="177" formatCode="* _(#,##0.00_);* \(#,##0.00\);* _(&quot;-&quot;?_);_(@_)"/>
    <numFmt numFmtId="178" formatCode="* _(##,##0.000_);* \(##,##0.000\);* _(&quot;-&quot;?_);_(@_)"/>
    <numFmt numFmtId="179" formatCode="* _(##,##0.000_);[Red]* \(##,##0.000\);* _(&quot;-&quot;?_);_(@_)"/>
    <numFmt numFmtId="180" formatCode="_(* #,##0.0_);_(* \(#,##0.0\);_(* &quot;-&quot;?_);_(@_)"/>
    <numFmt numFmtId="181" formatCode="_(&quot;$&quot;* #,##0.00_);_(&quot;$&quot;* \(#,##0.00\);_(&quot;$&quot;* &quot;-&quot;??_);_(@_)"/>
    <numFmt numFmtId="182" formatCode="_(* 0.0\x_);_(* \(0.0\x\);_(* &quot;-&quot;?_);_(@_)"/>
    <numFmt numFmtId="183" formatCode="* _(#,##0.0_);* \(#,##0.0\);* _(&quot;-&quot;?_);_(@_)"/>
    <numFmt numFmtId="184" formatCode="* _(#,##0.0%_);* \(#,##0.0%\);* _(&quot;-&quot;??_);_(@_)"/>
    <numFmt numFmtId="185" formatCode="_(* #,##0.00_);_(* \(#,##0.00\);_(* &quot;-&quot;?_);_(@_)"/>
    <numFmt numFmtId="186" formatCode="_(&quot;$&quot;* #,##0.0_);_(&quot;$&quot;* \(#,##0.0\);_(&quot;$&quot;* &quot;-&quot;?_);_(@_)"/>
  </numFmts>
  <fonts count="66" x14ac:knownFonts="1">
    <font>
      <sz val="10"/>
      <color rgb="FF000000"/>
      <name val="Arial"/>
      <scheme val="minor"/>
    </font>
    <font>
      <i/>
      <sz val="10"/>
      <color theme="1"/>
      <name val="Arial"/>
      <family val="2"/>
      <charset val="163"/>
    </font>
    <font>
      <sz val="10"/>
      <color theme="1"/>
      <name val="Arial"/>
      <family val="2"/>
      <charset val="163"/>
    </font>
    <font>
      <b/>
      <u/>
      <sz val="14"/>
      <color rgb="FFFFFFFF"/>
      <name val="Arial"/>
      <family val="2"/>
      <charset val="163"/>
    </font>
    <font>
      <b/>
      <sz val="8"/>
      <color theme="1"/>
      <name val="Arial"/>
      <family val="2"/>
      <charset val="163"/>
    </font>
    <font>
      <sz val="8"/>
      <color theme="1"/>
      <name val="Arial"/>
      <family val="2"/>
      <charset val="163"/>
    </font>
    <font>
      <b/>
      <u/>
      <sz val="8"/>
      <color theme="1"/>
      <name val="Arial"/>
      <family val="2"/>
      <charset val="163"/>
    </font>
    <font>
      <b/>
      <u/>
      <sz val="8"/>
      <color theme="1"/>
      <name val="Arial"/>
      <family val="2"/>
      <charset val="163"/>
    </font>
    <font>
      <b/>
      <u/>
      <sz val="8"/>
      <color theme="1"/>
      <name val="Arial"/>
      <family val="2"/>
      <charset val="163"/>
    </font>
    <font>
      <b/>
      <sz val="20"/>
      <color rgb="FFFFFFFF"/>
      <name val="Arial"/>
      <family val="2"/>
      <charset val="163"/>
    </font>
    <font>
      <sz val="10"/>
      <color rgb="FFFFFFFF"/>
      <name val="Arial"/>
      <family val="2"/>
      <charset val="163"/>
    </font>
    <font>
      <b/>
      <sz val="16"/>
      <color rgb="FFFFFFFF"/>
      <name val="Arial"/>
      <family val="2"/>
      <charset val="163"/>
    </font>
    <font>
      <b/>
      <sz val="14"/>
      <color rgb="FFFFFFFF"/>
      <name val="Arial"/>
      <family val="2"/>
      <charset val="163"/>
    </font>
    <font>
      <i/>
      <sz val="10"/>
      <color rgb="FFFFFFFF"/>
      <name val="Arial"/>
      <family val="2"/>
      <charset val="163"/>
    </font>
    <font>
      <b/>
      <sz val="10"/>
      <color theme="1"/>
      <name val="Arial"/>
      <family val="2"/>
      <charset val="163"/>
    </font>
    <font>
      <b/>
      <u/>
      <sz val="10"/>
      <color rgb="FFFFFFFF"/>
      <name val="Arial"/>
      <family val="2"/>
      <charset val="163"/>
    </font>
    <font>
      <b/>
      <u/>
      <sz val="10"/>
      <color rgb="FFFFFFFF"/>
      <name val="Arial"/>
      <family val="2"/>
      <charset val="163"/>
    </font>
    <font>
      <b/>
      <u/>
      <sz val="10"/>
      <color rgb="FFFFFFFF"/>
      <name val="Arial"/>
      <family val="2"/>
      <charset val="163"/>
    </font>
    <font>
      <b/>
      <sz val="10"/>
      <color rgb="FF000000"/>
      <name val="Arial"/>
      <family val="2"/>
      <charset val="163"/>
    </font>
    <font>
      <b/>
      <u/>
      <sz val="10"/>
      <color rgb="FF000000"/>
      <name val="Arial"/>
      <family val="2"/>
      <charset val="163"/>
    </font>
    <font>
      <b/>
      <u/>
      <sz val="10"/>
      <color rgb="FF000000"/>
      <name val="Arial"/>
      <family val="2"/>
      <charset val="163"/>
    </font>
    <font>
      <b/>
      <u/>
      <sz val="10"/>
      <color theme="1"/>
      <name val="Arial"/>
      <family val="2"/>
      <charset val="163"/>
    </font>
    <font>
      <b/>
      <u/>
      <sz val="10"/>
      <color rgb="FF000000"/>
      <name val="Arial"/>
      <family val="2"/>
      <charset val="163"/>
    </font>
    <font>
      <sz val="10"/>
      <color rgb="FF000000"/>
      <name val="Arial"/>
      <family val="2"/>
      <charset val="163"/>
    </font>
    <font>
      <i/>
      <sz val="9"/>
      <color theme="1"/>
      <name val="Arial"/>
      <family val="2"/>
      <charset val="163"/>
    </font>
    <font>
      <b/>
      <u/>
      <sz val="10"/>
      <color rgb="FFFFFFFF"/>
      <name val="Arial"/>
      <family val="2"/>
      <charset val="163"/>
    </font>
    <font>
      <b/>
      <sz val="10"/>
      <color rgb="FF0000FF"/>
      <name val="Arial"/>
      <family val="2"/>
      <charset val="163"/>
    </font>
    <font>
      <sz val="10"/>
      <color rgb="FF0000FF"/>
      <name val="Arial"/>
      <family val="2"/>
      <charset val="163"/>
    </font>
    <font>
      <b/>
      <u/>
      <sz val="10"/>
      <color rgb="FFFFFFFF"/>
      <name val="Arial"/>
      <family val="2"/>
      <charset val="163"/>
    </font>
    <font>
      <b/>
      <u/>
      <sz val="10"/>
      <color rgb="FFFFFFFF"/>
      <name val="Arial"/>
      <family val="2"/>
      <charset val="163"/>
    </font>
    <font>
      <b/>
      <u/>
      <sz val="10"/>
      <color theme="1"/>
      <name val="Arial"/>
      <family val="2"/>
      <charset val="163"/>
    </font>
    <font>
      <u/>
      <sz val="10"/>
      <color rgb="FF0000FF"/>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u/>
      <sz val="10"/>
      <color rgb="FF0000FF"/>
      <name val="Arial"/>
      <family val="2"/>
      <charset val="163"/>
    </font>
    <font>
      <u/>
      <sz val="10"/>
      <color theme="1"/>
      <name val="Arial"/>
      <family val="2"/>
      <charset val="163"/>
    </font>
    <font>
      <u/>
      <sz val="10"/>
      <color theme="1"/>
      <name val="Arial"/>
      <family val="2"/>
      <charset val="163"/>
    </font>
    <font>
      <b/>
      <u/>
      <sz val="10"/>
      <color rgb="FFFFFFFF"/>
      <name val="Arial"/>
      <family val="2"/>
      <charset val="163"/>
    </font>
    <font>
      <b/>
      <u/>
      <sz val="10"/>
      <color theme="1"/>
      <name val="Arial"/>
      <family val="2"/>
      <charset val="163"/>
    </font>
    <font>
      <sz val="10"/>
      <color rgb="FF0000FF"/>
      <name val="Arial"/>
      <family val="2"/>
      <charset val="163"/>
    </font>
    <font>
      <sz val="10"/>
      <color rgb="FF20242A"/>
      <name val="Aptos"/>
      <family val="2"/>
    </font>
    <font>
      <b/>
      <sz val="10"/>
      <color rgb="FF20242A"/>
      <name val="Aptos"/>
      <family val="2"/>
    </font>
    <font>
      <sz val="10"/>
      <color rgb="FF000000"/>
      <name val="Arial"/>
      <family val="2"/>
      <charset val="163"/>
      <scheme val="minor"/>
    </font>
    <font>
      <i/>
      <sz val="10"/>
      <color rgb="FF0000FF"/>
      <name val="Arial"/>
      <family val="2"/>
      <charset val="163"/>
    </font>
    <font>
      <b/>
      <sz val="10"/>
      <color rgb="FFFFFFFF"/>
      <name val="Arial"/>
      <family val="2"/>
      <charset val="163"/>
      <scheme val="minor"/>
    </font>
    <font>
      <b/>
      <sz val="10"/>
      <color rgb="FF000000"/>
      <name val="Arial"/>
      <family val="2"/>
      <charset val="163"/>
      <scheme val="minor"/>
    </font>
  </fonts>
  <fills count="13">
    <fill>
      <patternFill patternType="none"/>
    </fill>
    <fill>
      <patternFill patternType="gray125"/>
    </fill>
    <fill>
      <patternFill patternType="solid">
        <fgColor rgb="FF3366FF"/>
        <bgColor rgb="FF3366FF"/>
      </patternFill>
    </fill>
    <fill>
      <patternFill patternType="solid">
        <fgColor rgb="FFFFCC00"/>
        <bgColor rgb="FFFFCC00"/>
      </patternFill>
    </fill>
    <fill>
      <patternFill patternType="solid">
        <fgColor rgb="FFCCFFFF"/>
        <bgColor rgb="FFCCFFFF"/>
      </patternFill>
    </fill>
    <fill>
      <patternFill patternType="solid">
        <fgColor rgb="FFFFFF99"/>
        <bgColor rgb="FFFFFF99"/>
      </patternFill>
    </fill>
    <fill>
      <patternFill patternType="solid">
        <fgColor rgb="FFFFFFFF"/>
      </patternFill>
    </fill>
    <fill>
      <patternFill patternType="solid">
        <fgColor rgb="FFF4F6F8"/>
      </patternFill>
    </fill>
    <fill>
      <patternFill patternType="solid">
        <fgColor rgb="FFFFFF00"/>
        <bgColor rgb="FFCCFFFF"/>
      </patternFill>
    </fill>
    <fill>
      <patternFill patternType="solid">
        <fgColor rgb="FF1F4E79"/>
        <bgColor indexed="64"/>
      </patternFill>
    </fill>
    <fill>
      <patternFill patternType="solid">
        <fgColor rgb="FFDDEBF7"/>
        <bgColor indexed="64"/>
      </patternFill>
    </fill>
    <fill>
      <patternFill patternType="solid">
        <fgColor rgb="FFE2EFDA"/>
        <bgColor indexed="64"/>
      </patternFill>
    </fill>
    <fill>
      <patternFill patternType="solid">
        <fgColor rgb="FFFFF2CC"/>
        <bgColor indexed="64"/>
      </patternFill>
    </fill>
  </fills>
  <borders count="19">
    <border>
      <left/>
      <right/>
      <top/>
      <bottom/>
      <diagonal/>
    </border>
    <border>
      <left/>
      <right/>
      <top/>
      <bottom/>
      <diagonal/>
    </border>
    <border>
      <left/>
      <right/>
      <top/>
      <bottom style="dotted">
        <color rgb="FF808080"/>
      </bottom>
      <diagonal/>
    </border>
    <border>
      <left/>
      <right/>
      <top style="dotted">
        <color rgb="FF808080"/>
      </top>
      <bottom style="dotted">
        <color rgb="FF808080"/>
      </bottom>
      <diagonal/>
    </border>
    <border>
      <left/>
      <right/>
      <top style="dotted">
        <color rgb="FF000000"/>
      </top>
      <bottom style="dotted">
        <color rgb="FF000000"/>
      </bottom>
      <diagonal/>
    </border>
    <border>
      <left/>
      <right/>
      <top style="dotted">
        <color rgb="FF808080"/>
      </top>
      <bottom/>
      <diagonal/>
    </border>
    <border>
      <left style="dotted">
        <color rgb="FF000000"/>
      </left>
      <right style="dotted">
        <color rgb="FF000000"/>
      </right>
      <top style="dotted">
        <color rgb="FF000000"/>
      </top>
      <bottom/>
      <diagonal/>
    </border>
    <border>
      <left style="dotted">
        <color rgb="FF000000"/>
      </left>
      <right style="dotted">
        <color rgb="FF000000"/>
      </right>
      <top/>
      <bottom/>
      <diagonal/>
    </border>
    <border>
      <left style="dotted">
        <color rgb="FF000000"/>
      </left>
      <right style="dotted">
        <color rgb="FF000000"/>
      </right>
      <top/>
      <bottom/>
      <diagonal/>
    </border>
    <border>
      <left style="dotted">
        <color rgb="FF000000"/>
      </left>
      <right style="dotted">
        <color rgb="FF000000"/>
      </right>
      <top/>
      <bottom style="dotted">
        <color rgb="FF000000"/>
      </bottom>
      <diagonal/>
    </border>
    <border>
      <left/>
      <right/>
      <top/>
      <bottom style="thin">
        <color rgb="FF000000"/>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thin">
        <color rgb="FFA7B0BA"/>
      </left>
      <right style="thin">
        <color rgb="FFA7B0BA"/>
      </right>
      <top style="thin">
        <color rgb="FFA7B0BA"/>
      </top>
      <bottom style="thin">
        <color rgb="FFA7B0BA"/>
      </bottom>
      <diagonal/>
    </border>
    <border>
      <left style="thin">
        <color rgb="FFB4B4B4"/>
      </left>
      <right style="thin">
        <color rgb="FFB4B4B4"/>
      </right>
      <top style="thin">
        <color rgb="FFB4B4B4"/>
      </top>
      <bottom style="thin">
        <color rgb="FFB4B4B4"/>
      </bottom>
      <diagonal/>
    </border>
  </borders>
  <cellStyleXfs count="1">
    <xf numFmtId="0" fontId="0" fillId="0" borderId="1"/>
  </cellStyleXfs>
  <cellXfs count="225">
    <xf numFmtId="0" fontId="0" fillId="0" borderId="0" xfId="0" applyBorder="1"/>
    <xf numFmtId="0" fontId="1" fillId="0" borderId="0" xfId="0" applyFont="1" applyBorder="1"/>
    <xf numFmtId="0" fontId="2" fillId="0" borderId="0" xfId="0" applyFont="1" applyBorder="1"/>
    <xf numFmtId="0" fontId="4" fillId="3" borderId="1" xfId="0" applyFont="1" applyFill="1"/>
    <xf numFmtId="0" fontId="5" fillId="3" borderId="1" xfId="0" applyFont="1" applyFill="1"/>
    <xf numFmtId="0" fontId="4" fillId="3" borderId="1" xfId="0" applyFont="1" applyFill="1" applyAlignment="1">
      <alignment horizontal="center"/>
    </xf>
    <xf numFmtId="0" fontId="5" fillId="0" borderId="0" xfId="0" applyFont="1" applyBorder="1"/>
    <xf numFmtId="0" fontId="6" fillId="3" borderId="1" xfId="0" applyFont="1" applyFill="1" applyAlignment="1">
      <alignment wrapText="1"/>
    </xf>
    <xf numFmtId="0" fontId="7" fillId="3" borderId="1" xfId="0" applyFont="1" applyFill="1" applyAlignment="1">
      <alignment horizontal="center" wrapText="1"/>
    </xf>
    <xf numFmtId="0" fontId="8" fillId="3" borderId="1" xfId="0" applyFont="1" applyFill="1" applyAlignment="1">
      <alignment horizontal="center"/>
    </xf>
    <xf numFmtId="14" fontId="2" fillId="0" borderId="0" xfId="0" applyNumberFormat="1" applyFont="1" applyBorder="1" applyAlignment="1">
      <alignment horizontal="left" vertical="top"/>
    </xf>
    <xf numFmtId="0" fontId="2" fillId="0" borderId="0" xfId="0" applyFont="1" applyBorder="1" applyAlignment="1">
      <alignment vertical="top" wrapText="1"/>
    </xf>
    <xf numFmtId="164" fontId="2" fillId="0" borderId="2" xfId="0" applyNumberFormat="1" applyFont="1" applyBorder="1" applyAlignment="1">
      <alignment horizontal="right" vertical="top"/>
    </xf>
    <xf numFmtId="14" fontId="2" fillId="0" borderId="3" xfId="0" applyNumberFormat="1" applyFont="1" applyBorder="1" applyAlignment="1">
      <alignment horizontal="left" vertical="top"/>
    </xf>
    <xf numFmtId="0" fontId="2" fillId="0" borderId="3" xfId="0" applyFont="1" applyBorder="1" applyAlignment="1">
      <alignment vertical="top" wrapText="1"/>
    </xf>
    <xf numFmtId="0" fontId="2" fillId="0" borderId="4" xfId="0" applyFont="1" applyBorder="1" applyAlignment="1">
      <alignment vertical="top" wrapText="1"/>
    </xf>
    <xf numFmtId="165" fontId="2" fillId="0" borderId="3" xfId="0" applyNumberFormat="1" applyFont="1" applyBorder="1" applyAlignment="1">
      <alignment horizontal="right" vertical="top"/>
    </xf>
    <xf numFmtId="14" fontId="2" fillId="0" borderId="5" xfId="0" applyNumberFormat="1" applyFont="1" applyBorder="1" applyAlignment="1">
      <alignment horizontal="left" vertical="top"/>
    </xf>
    <xf numFmtId="0" fontId="2" fillId="0" borderId="5" xfId="0" applyFont="1" applyBorder="1" applyAlignment="1">
      <alignment vertical="top" wrapText="1"/>
    </xf>
    <xf numFmtId="165" fontId="2" fillId="0" borderId="5" xfId="0" applyNumberFormat="1" applyFont="1" applyBorder="1" applyAlignment="1">
      <alignment horizontal="right" vertical="top"/>
    </xf>
    <xf numFmtId="0" fontId="9" fillId="2" borderId="1" xfId="0" applyFont="1" applyFill="1"/>
    <xf numFmtId="0" fontId="10" fillId="2" borderId="1" xfId="0" applyFont="1" applyFill="1"/>
    <xf numFmtId="0" fontId="11" fillId="2" borderId="1" xfId="0" applyFont="1" applyFill="1"/>
    <xf numFmtId="0" fontId="12" fillId="2" borderId="1" xfId="0" applyFont="1" applyFill="1"/>
    <xf numFmtId="0" fontId="13" fillId="2" borderId="1" xfId="0" applyFont="1" applyFill="1"/>
    <xf numFmtId="0" fontId="10" fillId="0" borderId="0" xfId="0" applyFont="1" applyBorder="1"/>
    <xf numFmtId="0" fontId="14" fillId="0" borderId="0" xfId="0" applyFont="1" applyBorder="1"/>
    <xf numFmtId="0" fontId="16" fillId="2" borderId="1" xfId="0" applyFont="1" applyFill="1" applyAlignment="1">
      <alignment horizontal="center"/>
    </xf>
    <xf numFmtId="0" fontId="18" fillId="0" borderId="0" xfId="0" applyFont="1" applyBorder="1" applyAlignment="1">
      <alignment horizontal="left" vertical="top"/>
    </xf>
    <xf numFmtId="0" fontId="18" fillId="0" borderId="6" xfId="0" applyFont="1" applyBorder="1" applyAlignment="1">
      <alignment horizontal="center" vertical="top"/>
    </xf>
    <xf numFmtId="0" fontId="18" fillId="0" borderId="0" xfId="0" applyFont="1" applyBorder="1" applyAlignment="1">
      <alignment horizontal="center" vertical="top"/>
    </xf>
    <xf numFmtId="0" fontId="19" fillId="0" borderId="0" xfId="0" applyFont="1" applyBorder="1" applyAlignment="1">
      <alignment horizontal="left" vertical="top"/>
    </xf>
    <xf numFmtId="0" fontId="20" fillId="0" borderId="0" xfId="0" applyFont="1" applyBorder="1" applyAlignment="1">
      <alignment horizontal="center" vertical="top"/>
    </xf>
    <xf numFmtId="0" fontId="21" fillId="0" borderId="0" xfId="0" applyFont="1" applyBorder="1" applyAlignment="1">
      <alignment horizontal="center"/>
    </xf>
    <xf numFmtId="0" fontId="22" fillId="0" borderId="7" xfId="0" applyFont="1" applyBorder="1" applyAlignment="1">
      <alignment horizontal="center" vertical="top"/>
    </xf>
    <xf numFmtId="14" fontId="23" fillId="0" borderId="0" xfId="0" applyNumberFormat="1" applyFont="1" applyBorder="1" applyAlignment="1">
      <alignment horizontal="left" vertical="top"/>
    </xf>
    <xf numFmtId="0" fontId="23" fillId="0" borderId="0" xfId="0" applyFont="1" applyBorder="1" applyAlignment="1">
      <alignment horizontal="left" vertical="top" wrapText="1"/>
    </xf>
    <xf numFmtId="0" fontId="23" fillId="0" borderId="0" xfId="0" applyFont="1" applyBorder="1" applyAlignment="1">
      <alignment horizontal="center" vertical="top" wrapText="1"/>
    </xf>
    <xf numFmtId="164" fontId="2" fillId="0" borderId="0" xfId="0" applyNumberFormat="1" applyFont="1" applyBorder="1" applyAlignment="1">
      <alignment horizontal="right" vertical="top"/>
    </xf>
    <xf numFmtId="166" fontId="23" fillId="0" borderId="0" xfId="0" applyNumberFormat="1" applyFont="1" applyBorder="1" applyAlignment="1">
      <alignment horizontal="center" vertical="top"/>
    </xf>
    <xf numFmtId="166" fontId="23" fillId="0" borderId="7" xfId="0" applyNumberFormat="1" applyFont="1" applyBorder="1" applyAlignment="1">
      <alignment horizontal="center" vertical="top"/>
    </xf>
    <xf numFmtId="9" fontId="23" fillId="0" borderId="0" xfId="0" applyNumberFormat="1" applyFont="1" applyBorder="1" applyAlignment="1">
      <alignment horizontal="center" vertical="top"/>
    </xf>
    <xf numFmtId="0" fontId="23" fillId="0" borderId="0" xfId="0" applyFont="1" applyBorder="1" applyAlignment="1">
      <alignment horizontal="center" vertical="top"/>
    </xf>
    <xf numFmtId="14" fontId="23" fillId="4" borderId="1" xfId="0" applyNumberFormat="1" applyFont="1" applyFill="1" applyAlignment="1">
      <alignment horizontal="left" vertical="top"/>
    </xf>
    <xf numFmtId="0" fontId="23" fillId="4" borderId="1" xfId="0" applyFont="1" applyFill="1" applyAlignment="1">
      <alignment horizontal="left" vertical="top" wrapText="1"/>
    </xf>
    <xf numFmtId="0" fontId="23" fillId="4" borderId="1" xfId="0" applyFont="1" applyFill="1" applyAlignment="1">
      <alignment horizontal="center" vertical="top" wrapText="1"/>
    </xf>
    <xf numFmtId="165" fontId="2" fillId="4" borderId="1" xfId="0" applyNumberFormat="1" applyFont="1" applyFill="1" applyAlignment="1">
      <alignment horizontal="right" vertical="top"/>
    </xf>
    <xf numFmtId="166" fontId="23" fillId="4" borderId="1" xfId="0" applyNumberFormat="1" applyFont="1" applyFill="1" applyAlignment="1">
      <alignment horizontal="center" vertical="top"/>
    </xf>
    <xf numFmtId="166" fontId="23" fillId="4" borderId="8" xfId="0" applyNumberFormat="1" applyFont="1" applyFill="1" applyBorder="1" applyAlignment="1">
      <alignment horizontal="center" vertical="top"/>
    </xf>
    <xf numFmtId="9" fontId="23" fillId="4" borderId="1" xfId="0" applyNumberFormat="1" applyFont="1" applyFill="1" applyAlignment="1">
      <alignment horizontal="center" vertical="top"/>
    </xf>
    <xf numFmtId="0" fontId="23" fillId="4" borderId="1" xfId="0" applyFont="1" applyFill="1" applyAlignment="1">
      <alignment horizontal="center" vertical="top"/>
    </xf>
    <xf numFmtId="167" fontId="23" fillId="0" borderId="0" xfId="0" applyNumberFormat="1" applyFont="1" applyBorder="1" applyAlignment="1">
      <alignment horizontal="center" vertical="top"/>
    </xf>
    <xf numFmtId="165" fontId="2" fillId="0" borderId="0" xfId="0" applyNumberFormat="1" applyFont="1" applyBorder="1" applyAlignment="1">
      <alignment horizontal="right" vertical="top"/>
    </xf>
    <xf numFmtId="9" fontId="2" fillId="4" borderId="1" xfId="0" applyNumberFormat="1" applyFont="1" applyFill="1" applyAlignment="1">
      <alignment horizontal="center" vertical="top"/>
    </xf>
    <xf numFmtId="166" fontId="2" fillId="4" borderId="8" xfId="0" applyNumberFormat="1" applyFont="1" applyFill="1" applyBorder="1" applyAlignment="1">
      <alignment horizontal="center" vertical="top"/>
    </xf>
    <xf numFmtId="166" fontId="2" fillId="0" borderId="7" xfId="0" applyNumberFormat="1" applyFont="1" applyBorder="1" applyAlignment="1">
      <alignment horizontal="center" vertical="top"/>
    </xf>
    <xf numFmtId="0" fontId="23" fillId="0" borderId="0" xfId="0" applyFont="1" applyBorder="1" applyAlignment="1">
      <alignment horizontal="left" vertical="top"/>
    </xf>
    <xf numFmtId="168" fontId="23" fillId="0" borderId="0" xfId="0" applyNumberFormat="1" applyFont="1" applyBorder="1" applyAlignment="1">
      <alignment horizontal="right" vertical="top"/>
    </xf>
    <xf numFmtId="166" fontId="23" fillId="0" borderId="1" xfId="0" applyNumberFormat="1" applyFont="1" applyAlignment="1">
      <alignment horizontal="center" vertical="top"/>
    </xf>
    <xf numFmtId="166" fontId="23" fillId="0" borderId="8" xfId="0" applyNumberFormat="1" applyFont="1" applyBorder="1" applyAlignment="1">
      <alignment horizontal="center" vertical="top"/>
    </xf>
    <xf numFmtId="9" fontId="2" fillId="0" borderId="0" xfId="0" applyNumberFormat="1" applyFont="1" applyBorder="1"/>
    <xf numFmtId="0" fontId="23" fillId="0" borderId="1" xfId="0" applyFont="1" applyAlignment="1">
      <alignment horizontal="center" vertical="top"/>
    </xf>
    <xf numFmtId="9" fontId="23" fillId="0" borderId="1" xfId="0" applyNumberFormat="1" applyFont="1" applyAlignment="1">
      <alignment horizontal="center" vertical="top"/>
    </xf>
    <xf numFmtId="0" fontId="14" fillId="3" borderId="1" xfId="0" applyFont="1" applyFill="1" applyAlignment="1">
      <alignment horizontal="left"/>
    </xf>
    <xf numFmtId="0" fontId="2" fillId="3" borderId="1" xfId="0" applyFont="1" applyFill="1"/>
    <xf numFmtId="166" fontId="14" fillId="3" borderId="1" xfId="0" applyNumberFormat="1" applyFont="1" applyFill="1" applyAlignment="1">
      <alignment horizontal="center"/>
    </xf>
    <xf numFmtId="166" fontId="14" fillId="3" borderId="8" xfId="0" applyNumberFormat="1" applyFont="1" applyFill="1" applyBorder="1" applyAlignment="1">
      <alignment horizontal="center"/>
    </xf>
    <xf numFmtId="0" fontId="14" fillId="3" borderId="1" xfId="0" applyFont="1" applyFill="1" applyAlignment="1">
      <alignment horizontal="center"/>
    </xf>
    <xf numFmtId="9" fontId="14" fillId="3" borderId="1" xfId="0" applyNumberFormat="1" applyFont="1" applyFill="1" applyAlignment="1">
      <alignment horizontal="center"/>
    </xf>
    <xf numFmtId="0" fontId="14" fillId="0" borderId="0" xfId="0" applyFont="1" applyBorder="1" applyAlignment="1">
      <alignment horizontal="left"/>
    </xf>
    <xf numFmtId="166" fontId="14" fillId="0" borderId="1" xfId="0" applyNumberFormat="1" applyFont="1" applyAlignment="1">
      <alignment horizontal="center"/>
    </xf>
    <xf numFmtId="166" fontId="14" fillId="0" borderId="8" xfId="0" applyNumberFormat="1" applyFont="1" applyBorder="1" applyAlignment="1">
      <alignment horizontal="center"/>
    </xf>
    <xf numFmtId="0" fontId="14" fillId="0" borderId="1" xfId="0" applyFont="1" applyAlignment="1">
      <alignment horizontal="center"/>
    </xf>
    <xf numFmtId="9" fontId="14" fillId="0" borderId="1" xfId="0" applyNumberFormat="1" applyFont="1" applyAlignment="1">
      <alignment horizontal="center"/>
    </xf>
    <xf numFmtId="0" fontId="2" fillId="0" borderId="1" xfId="0" applyFont="1"/>
    <xf numFmtId="166" fontId="14" fillId="3" borderId="9" xfId="0" applyNumberFormat="1" applyFont="1" applyFill="1" applyBorder="1" applyAlignment="1">
      <alignment horizontal="center"/>
    </xf>
    <xf numFmtId="0" fontId="2" fillId="0" borderId="10" xfId="0" applyFont="1" applyBorder="1"/>
    <xf numFmtId="0" fontId="2" fillId="0" borderId="0" xfId="0" applyFont="1" applyBorder="1" applyAlignment="1">
      <alignment horizontal="left"/>
    </xf>
    <xf numFmtId="169" fontId="2" fillId="0" borderId="1" xfId="0" applyNumberFormat="1" applyFont="1" applyAlignment="1">
      <alignment horizontal="left"/>
    </xf>
    <xf numFmtId="0" fontId="2" fillId="0" borderId="1" xfId="0" applyFont="1" applyAlignment="1">
      <alignment horizontal="left"/>
    </xf>
    <xf numFmtId="9" fontId="2" fillId="0" borderId="1" xfId="0" applyNumberFormat="1" applyFont="1" applyAlignment="1">
      <alignment horizontal="left"/>
    </xf>
    <xf numFmtId="0" fontId="24" fillId="0" borderId="0" xfId="0" applyFont="1" applyBorder="1"/>
    <xf numFmtId="166" fontId="2" fillId="0" borderId="0" xfId="0" applyNumberFormat="1" applyFont="1" applyBorder="1" applyAlignment="1">
      <alignment horizontal="left"/>
    </xf>
    <xf numFmtId="9" fontId="2" fillId="0" borderId="0" xfId="0" applyNumberFormat="1" applyFont="1" applyBorder="1" applyAlignment="1">
      <alignment horizontal="left"/>
    </xf>
    <xf numFmtId="170" fontId="9" fillId="2" borderId="1" xfId="0" applyNumberFormat="1" applyFont="1" applyFill="1"/>
    <xf numFmtId="0" fontId="2" fillId="2" borderId="1" xfId="0" applyFont="1" applyFill="1"/>
    <xf numFmtId="10" fontId="2" fillId="0" borderId="0" xfId="0" applyNumberFormat="1" applyFont="1" applyBorder="1"/>
    <xf numFmtId="0" fontId="14" fillId="4" borderId="1" xfId="0" applyFont="1" applyFill="1"/>
    <xf numFmtId="0" fontId="2" fillId="4" borderId="1" xfId="0" applyFont="1" applyFill="1"/>
    <xf numFmtId="0" fontId="2" fillId="5" borderId="1" xfId="0" applyFont="1" applyFill="1"/>
    <xf numFmtId="0" fontId="14" fillId="4" borderId="1" xfId="0" applyFont="1" applyFill="1" applyAlignment="1">
      <alignment horizontal="center"/>
    </xf>
    <xf numFmtId="0" fontId="29" fillId="4" borderId="1" xfId="0" applyFont="1" applyFill="1" applyAlignment="1">
      <alignment horizontal="left"/>
    </xf>
    <xf numFmtId="14" fontId="30" fillId="4" borderId="1" xfId="0" applyNumberFormat="1" applyFont="1" applyFill="1" applyAlignment="1">
      <alignment horizontal="center"/>
    </xf>
    <xf numFmtId="166" fontId="2" fillId="4" borderId="1" xfId="0" applyNumberFormat="1" applyFont="1" applyFill="1"/>
    <xf numFmtId="0" fontId="1" fillId="4" borderId="1" xfId="0" applyFont="1" applyFill="1"/>
    <xf numFmtId="176" fontId="27" fillId="5" borderId="1" xfId="0" applyNumberFormat="1" applyFont="1" applyFill="1"/>
    <xf numFmtId="0" fontId="2" fillId="4" borderId="1" xfId="0" applyFont="1" applyFill="1" applyAlignment="1">
      <alignment horizontal="right"/>
    </xf>
    <xf numFmtId="0" fontId="2" fillId="4" borderId="13" xfId="0" applyFont="1" applyFill="1" applyBorder="1" applyAlignment="1">
      <alignment horizontal="right"/>
    </xf>
    <xf numFmtId="0" fontId="2" fillId="4" borderId="14" xfId="0" applyFont="1" applyFill="1" applyBorder="1" applyAlignment="1">
      <alignment horizontal="right"/>
    </xf>
    <xf numFmtId="177" fontId="2" fillId="4" borderId="1" xfId="0" applyNumberFormat="1" applyFont="1" applyFill="1"/>
    <xf numFmtId="0" fontId="2" fillId="4" borderId="1" xfId="0" applyFont="1" applyFill="1" applyAlignment="1">
      <alignment horizontal="left"/>
    </xf>
    <xf numFmtId="177" fontId="27" fillId="5" borderId="1" xfId="0" applyNumberFormat="1" applyFont="1" applyFill="1"/>
    <xf numFmtId="176" fontId="2" fillId="4" borderId="1" xfId="0" applyNumberFormat="1" applyFont="1" applyFill="1" applyAlignment="1">
      <alignment horizontal="right"/>
    </xf>
    <xf numFmtId="176" fontId="2" fillId="4" borderId="15" xfId="0" applyNumberFormat="1" applyFont="1" applyFill="1" applyBorder="1" applyAlignment="1">
      <alignment horizontal="right"/>
    </xf>
    <xf numFmtId="176" fontId="2" fillId="4" borderId="16" xfId="0" applyNumberFormat="1" applyFont="1" applyFill="1" applyBorder="1" applyAlignment="1">
      <alignment horizontal="right"/>
    </xf>
    <xf numFmtId="0" fontId="40" fillId="4" borderId="1" xfId="0" applyFont="1" applyFill="1"/>
    <xf numFmtId="176" fontId="14" fillId="4" borderId="1" xfId="0" applyNumberFormat="1" applyFont="1" applyFill="1"/>
    <xf numFmtId="178" fontId="41" fillId="4" borderId="1" xfId="0" applyNumberFormat="1" applyFont="1" applyFill="1"/>
    <xf numFmtId="0" fontId="27" fillId="0" borderId="0" xfId="0" applyFont="1" applyBorder="1" applyAlignment="1">
      <alignment horizontal="left" vertical="top" wrapText="1"/>
    </xf>
    <xf numFmtId="178" fontId="27" fillId="5" borderId="1" xfId="0" applyNumberFormat="1" applyFont="1" applyFill="1"/>
    <xf numFmtId="178" fontId="2" fillId="4" borderId="1" xfId="0" applyNumberFormat="1" applyFont="1" applyFill="1"/>
    <xf numFmtId="179" fontId="42" fillId="4" borderId="1" xfId="0" applyNumberFormat="1" applyFont="1" applyFill="1"/>
    <xf numFmtId="180" fontId="2" fillId="4" borderId="1" xfId="0" applyNumberFormat="1" applyFont="1" applyFill="1" applyAlignment="1">
      <alignment horizontal="right"/>
    </xf>
    <xf numFmtId="180" fontId="2" fillId="4" borderId="13" xfId="0" applyNumberFormat="1" applyFont="1" applyFill="1" applyBorder="1" applyAlignment="1">
      <alignment horizontal="right"/>
    </xf>
    <xf numFmtId="180" fontId="2" fillId="4" borderId="14" xfId="0" applyNumberFormat="1" applyFont="1" applyFill="1" applyBorder="1" applyAlignment="1">
      <alignment horizontal="right"/>
    </xf>
    <xf numFmtId="178" fontId="14" fillId="4" borderId="1" xfId="0" applyNumberFormat="1" applyFont="1" applyFill="1"/>
    <xf numFmtId="181" fontId="2" fillId="0" borderId="0" xfId="0" applyNumberFormat="1" applyFont="1" applyBorder="1"/>
    <xf numFmtId="178" fontId="43" fillId="4" borderId="1" xfId="0" applyNumberFormat="1" applyFont="1" applyFill="1"/>
    <xf numFmtId="180" fontId="2" fillId="0" borderId="0" xfId="0" applyNumberFormat="1" applyFont="1" applyBorder="1"/>
    <xf numFmtId="180" fontId="45" fillId="4" borderId="1" xfId="0" applyNumberFormat="1" applyFont="1" applyFill="1" applyAlignment="1">
      <alignment horizontal="right"/>
    </xf>
    <xf numFmtId="180" fontId="46" fillId="4" borderId="13" xfId="0" applyNumberFormat="1" applyFont="1" applyFill="1" applyBorder="1" applyAlignment="1">
      <alignment horizontal="right"/>
    </xf>
    <xf numFmtId="180" fontId="47" fillId="4" borderId="14" xfId="0" applyNumberFormat="1" applyFont="1" applyFill="1" applyBorder="1" applyAlignment="1">
      <alignment horizontal="right"/>
    </xf>
    <xf numFmtId="182" fontId="2" fillId="4" borderId="1" xfId="0" applyNumberFormat="1" applyFont="1" applyFill="1" applyAlignment="1">
      <alignment horizontal="right"/>
    </xf>
    <xf numFmtId="183" fontId="2" fillId="4" borderId="1" xfId="0" applyNumberFormat="1" applyFont="1" applyFill="1"/>
    <xf numFmtId="178" fontId="48" fillId="5" borderId="1" xfId="0" applyNumberFormat="1" applyFont="1" applyFill="1"/>
    <xf numFmtId="177" fontId="49" fillId="5" borderId="1" xfId="0" applyNumberFormat="1" applyFont="1" applyFill="1"/>
    <xf numFmtId="183" fontId="50" fillId="4" borderId="1" xfId="0" applyNumberFormat="1" applyFont="1" applyFill="1"/>
    <xf numFmtId="180" fontId="14" fillId="4" borderId="1" xfId="0" applyNumberFormat="1" applyFont="1" applyFill="1"/>
    <xf numFmtId="168" fontId="2" fillId="0" borderId="0" xfId="0" applyNumberFormat="1" applyFont="1" applyBorder="1"/>
    <xf numFmtId="0" fontId="53" fillId="4" borderId="1" xfId="0" applyFont="1" applyFill="1" applyAlignment="1">
      <alignment horizontal="center"/>
    </xf>
    <xf numFmtId="167" fontId="2" fillId="0" borderId="0" xfId="0" applyNumberFormat="1" applyFont="1" applyBorder="1"/>
    <xf numFmtId="183" fontId="27" fillId="5" borderId="1" xfId="0" applyNumberFormat="1" applyFont="1" applyFill="1"/>
    <xf numFmtId="183" fontId="54" fillId="5" borderId="1" xfId="0" applyNumberFormat="1" applyFont="1" applyFill="1"/>
    <xf numFmtId="180" fontId="55" fillId="4" borderId="1" xfId="0" applyNumberFormat="1" applyFont="1" applyFill="1"/>
    <xf numFmtId="14" fontId="27" fillId="5" borderId="1" xfId="0" applyNumberFormat="1" applyFont="1" applyFill="1"/>
    <xf numFmtId="0" fontId="27" fillId="5" borderId="1" xfId="0" applyFont="1" applyFill="1"/>
    <xf numFmtId="167" fontId="2" fillId="5" borderId="1" xfId="0" applyNumberFormat="1" applyFont="1" applyFill="1"/>
    <xf numFmtId="14" fontId="27" fillId="4" borderId="1" xfId="0" applyNumberFormat="1" applyFont="1" applyFill="1"/>
    <xf numFmtId="0" fontId="57" fillId="0" borderId="0" xfId="0" applyFont="1" applyBorder="1"/>
    <xf numFmtId="166" fontId="2" fillId="0" borderId="0" xfId="0" applyNumberFormat="1" applyFont="1" applyBorder="1"/>
    <xf numFmtId="0" fontId="58" fillId="0" borderId="0" xfId="0" applyFont="1" applyBorder="1" applyAlignment="1">
      <alignment horizontal="left"/>
    </xf>
    <xf numFmtId="0" fontId="59" fillId="5" borderId="1" xfId="0" applyFont="1" applyFill="1" applyAlignment="1">
      <alignment horizontal="right"/>
    </xf>
    <xf numFmtId="14" fontId="59" fillId="5" borderId="1" xfId="0" applyNumberFormat="1" applyFont="1" applyFill="1" applyAlignment="1">
      <alignment horizontal="center"/>
    </xf>
    <xf numFmtId="14" fontId="59" fillId="5" borderId="1" xfId="0" applyNumberFormat="1" applyFont="1" applyFill="1" applyAlignment="1">
      <alignment horizontal="right"/>
    </xf>
    <xf numFmtId="176" fontId="59" fillId="5" borderId="1" xfId="0" applyNumberFormat="1" applyFont="1" applyFill="1"/>
    <xf numFmtId="178" fontId="59" fillId="5" borderId="1" xfId="0" applyNumberFormat="1" applyFont="1" applyFill="1"/>
    <xf numFmtId="177" fontId="59" fillId="5" borderId="1" xfId="0" applyNumberFormat="1" applyFont="1" applyFill="1"/>
    <xf numFmtId="0" fontId="0" fillId="0" borderId="0" xfId="0" applyBorder="1"/>
    <xf numFmtId="0" fontId="14" fillId="0" borderId="0" xfId="0" applyFont="1" applyBorder="1" applyAlignment="1">
      <alignment horizontal="center"/>
    </xf>
    <xf numFmtId="0" fontId="61" fillId="6" borderId="17" xfId="0" applyFont="1" applyFill="1" applyBorder="1" applyAlignment="1">
      <alignment vertical="top" wrapText="1"/>
    </xf>
    <xf numFmtId="0" fontId="60" fillId="6" borderId="17" xfId="0" applyFont="1" applyFill="1" applyBorder="1" applyAlignment="1">
      <alignment vertical="top" wrapText="1"/>
    </xf>
    <xf numFmtId="174" fontId="59" fillId="5" borderId="1" xfId="0" applyNumberFormat="1" applyFont="1" applyFill="1" applyAlignment="1">
      <alignment horizontal="right"/>
    </xf>
    <xf numFmtId="175" fontId="59" fillId="5" borderId="1" xfId="0" applyNumberFormat="1" applyFont="1" applyFill="1"/>
    <xf numFmtId="171" fontId="59" fillId="5" borderId="1" xfId="0" applyNumberFormat="1" applyFont="1" applyFill="1" applyAlignment="1">
      <alignment horizontal="right"/>
    </xf>
    <xf numFmtId="171" fontId="59" fillId="5" borderId="11" xfId="0" applyNumberFormat="1" applyFont="1" applyFill="1" applyBorder="1" applyAlignment="1">
      <alignment horizontal="right"/>
    </xf>
    <xf numFmtId="171" fontId="59" fillId="5" borderId="12" xfId="0" applyNumberFormat="1" applyFont="1" applyFill="1" applyBorder="1" applyAlignment="1">
      <alignment horizontal="right"/>
    </xf>
    <xf numFmtId="171" fontId="14" fillId="4" borderId="1" xfId="0" applyNumberFormat="1" applyFont="1" applyFill="1" applyAlignment="1">
      <alignment horizontal="right"/>
    </xf>
    <xf numFmtId="172" fontId="59" fillId="5" borderId="1" xfId="0" applyNumberFormat="1" applyFont="1" applyFill="1" applyAlignment="1">
      <alignment horizontal="right"/>
    </xf>
    <xf numFmtId="172" fontId="59" fillId="5" borderId="13" xfId="0" applyNumberFormat="1" applyFont="1" applyFill="1" applyBorder="1" applyAlignment="1">
      <alignment horizontal="right"/>
    </xf>
    <xf numFmtId="172" fontId="59" fillId="5" borderId="14" xfId="0" applyNumberFormat="1" applyFont="1" applyFill="1" applyBorder="1" applyAlignment="1">
      <alignment horizontal="right"/>
    </xf>
    <xf numFmtId="172" fontId="34" fillId="4" borderId="1" xfId="0" applyNumberFormat="1" applyFont="1" applyFill="1" applyAlignment="1">
      <alignment horizontal="right"/>
    </xf>
    <xf numFmtId="171" fontId="14" fillId="4" borderId="13" xfId="0" applyNumberFormat="1" applyFont="1" applyFill="1" applyBorder="1" applyAlignment="1">
      <alignment horizontal="right"/>
    </xf>
    <xf numFmtId="171" fontId="14" fillId="4" borderId="14" xfId="0" applyNumberFormat="1" applyFont="1" applyFill="1" applyBorder="1" applyAlignment="1">
      <alignment horizontal="right"/>
    </xf>
    <xf numFmtId="172" fontId="2" fillId="4" borderId="1" xfId="0" applyNumberFormat="1" applyFont="1" applyFill="1" applyAlignment="1">
      <alignment horizontal="right"/>
    </xf>
    <xf numFmtId="173" fontId="59" fillId="5" borderId="1" xfId="0" applyNumberFormat="1" applyFont="1" applyFill="1" applyAlignment="1">
      <alignment horizontal="right"/>
    </xf>
    <xf numFmtId="173" fontId="59" fillId="5" borderId="13" xfId="0" applyNumberFormat="1" applyFont="1" applyFill="1" applyBorder="1" applyAlignment="1">
      <alignment horizontal="right"/>
    </xf>
    <xf numFmtId="173" fontId="59" fillId="5" borderId="14" xfId="0" applyNumberFormat="1" applyFont="1" applyFill="1" applyBorder="1" applyAlignment="1">
      <alignment horizontal="right"/>
    </xf>
    <xf numFmtId="173" fontId="35" fillId="4" borderId="1" xfId="0" applyNumberFormat="1" applyFont="1" applyFill="1" applyAlignment="1">
      <alignment horizontal="right"/>
    </xf>
    <xf numFmtId="174" fontId="27" fillId="4" borderId="1" xfId="0" applyNumberFormat="1" applyFont="1" applyFill="1" applyAlignment="1">
      <alignment horizontal="right"/>
    </xf>
    <xf numFmtId="171" fontId="36" fillId="4" borderId="1" xfId="0" applyNumberFormat="1" applyFont="1" applyFill="1" applyAlignment="1">
      <alignment horizontal="right"/>
    </xf>
    <xf numFmtId="171" fontId="37" fillId="4" borderId="13" xfId="0" applyNumberFormat="1" applyFont="1" applyFill="1" applyBorder="1" applyAlignment="1">
      <alignment horizontal="right"/>
    </xf>
    <xf numFmtId="171" fontId="38" fillId="4" borderId="14" xfId="0" applyNumberFormat="1" applyFont="1" applyFill="1" applyBorder="1" applyAlignment="1">
      <alignment horizontal="right"/>
    </xf>
    <xf numFmtId="175" fontId="1" fillId="4" borderId="1" xfId="0" applyNumberFormat="1" applyFont="1" applyFill="1" applyAlignment="1">
      <alignment horizontal="right"/>
    </xf>
    <xf numFmtId="175" fontId="1" fillId="4" borderId="13" xfId="0" applyNumberFormat="1" applyFont="1" applyFill="1" applyBorder="1" applyAlignment="1">
      <alignment horizontal="right"/>
    </xf>
    <xf numFmtId="175" fontId="1" fillId="4" borderId="14" xfId="0" applyNumberFormat="1" applyFont="1" applyFill="1" applyBorder="1" applyAlignment="1">
      <alignment horizontal="right"/>
    </xf>
    <xf numFmtId="171" fontId="2" fillId="4" borderId="1" xfId="0" applyNumberFormat="1" applyFont="1" applyFill="1" applyAlignment="1">
      <alignment horizontal="right"/>
    </xf>
    <xf numFmtId="171" fontId="2" fillId="4" borderId="11" xfId="0" applyNumberFormat="1" applyFont="1" applyFill="1" applyBorder="1" applyAlignment="1">
      <alignment horizontal="right"/>
    </xf>
    <xf numFmtId="171" fontId="2" fillId="4" borderId="12" xfId="0" applyNumberFormat="1" applyFont="1" applyFill="1" applyBorder="1" applyAlignment="1">
      <alignment horizontal="right"/>
    </xf>
    <xf numFmtId="172" fontId="31" fillId="5" borderId="1" xfId="0" applyNumberFormat="1" applyFont="1" applyFill="1" applyAlignment="1">
      <alignment horizontal="right"/>
    </xf>
    <xf numFmtId="172" fontId="32" fillId="5" borderId="13" xfId="0" applyNumberFormat="1" applyFont="1" applyFill="1" applyBorder="1" applyAlignment="1">
      <alignment horizontal="right"/>
    </xf>
    <xf numFmtId="172" fontId="33" fillId="5" borderId="14" xfId="0" applyNumberFormat="1" applyFont="1" applyFill="1" applyBorder="1" applyAlignment="1">
      <alignment horizontal="right"/>
    </xf>
    <xf numFmtId="171" fontId="14" fillId="4" borderId="1" xfId="0" applyNumberFormat="1" applyFont="1" applyFill="1"/>
    <xf numFmtId="172" fontId="59" fillId="5" borderId="1" xfId="0" applyNumberFormat="1" applyFont="1" applyFill="1"/>
    <xf numFmtId="171" fontId="2" fillId="4" borderId="13" xfId="0" applyNumberFormat="1" applyFont="1" applyFill="1" applyBorder="1" applyAlignment="1">
      <alignment horizontal="right"/>
    </xf>
    <xf numFmtId="171" fontId="2" fillId="4" borderId="14" xfId="0" applyNumberFormat="1" applyFont="1" applyFill="1" applyBorder="1" applyAlignment="1">
      <alignment horizontal="right"/>
    </xf>
    <xf numFmtId="173" fontId="59" fillId="5" borderId="1" xfId="0" applyNumberFormat="1" applyFont="1" applyFill="1"/>
    <xf numFmtId="171" fontId="44" fillId="4" borderId="1" xfId="0" applyNumberFormat="1" applyFont="1" applyFill="1"/>
    <xf numFmtId="171" fontId="2" fillId="4" borderId="1" xfId="0" applyNumberFormat="1" applyFont="1" applyFill="1"/>
    <xf numFmtId="172" fontId="2" fillId="4" borderId="13" xfId="0" applyNumberFormat="1" applyFont="1" applyFill="1" applyBorder="1" applyAlignment="1">
      <alignment horizontal="right"/>
    </xf>
    <xf numFmtId="172" fontId="2" fillId="4" borderId="14" xfId="0" applyNumberFormat="1" applyFont="1" applyFill="1" applyBorder="1" applyAlignment="1">
      <alignment horizontal="right"/>
    </xf>
    <xf numFmtId="172" fontId="27" fillId="5" borderId="1" xfId="0" applyNumberFormat="1" applyFont="1" applyFill="1" applyAlignment="1">
      <alignment horizontal="right"/>
    </xf>
    <xf numFmtId="172" fontId="27" fillId="5" borderId="13" xfId="0" applyNumberFormat="1" applyFont="1" applyFill="1" applyBorder="1" applyAlignment="1">
      <alignment horizontal="right"/>
    </xf>
    <xf numFmtId="172" fontId="27" fillId="5" borderId="14" xfId="0" applyNumberFormat="1" applyFont="1" applyFill="1" applyBorder="1" applyAlignment="1">
      <alignment horizontal="right"/>
    </xf>
    <xf numFmtId="173" fontId="51" fillId="4" borderId="13" xfId="0" applyNumberFormat="1" applyFont="1" applyFill="1" applyBorder="1" applyAlignment="1">
      <alignment horizontal="right"/>
    </xf>
    <xf numFmtId="173" fontId="52" fillId="4" borderId="14" xfId="0" applyNumberFormat="1" applyFont="1" applyFill="1" applyBorder="1" applyAlignment="1">
      <alignment horizontal="right"/>
    </xf>
    <xf numFmtId="43" fontId="2" fillId="0" borderId="0" xfId="0" applyNumberFormat="1" applyFont="1" applyBorder="1"/>
    <xf numFmtId="171" fontId="27" fillId="5" borderId="1" xfId="0" applyNumberFormat="1" applyFont="1" applyFill="1"/>
    <xf numFmtId="172" fontId="59" fillId="5" borderId="11" xfId="0" applyNumberFormat="1" applyFont="1" applyFill="1" applyBorder="1" applyAlignment="1">
      <alignment horizontal="right"/>
    </xf>
    <xf numFmtId="172" fontId="59" fillId="5" borderId="12" xfId="0" applyNumberFormat="1" applyFont="1" applyFill="1" applyBorder="1" applyAlignment="1">
      <alignment horizontal="right"/>
    </xf>
    <xf numFmtId="184" fontId="1" fillId="4" borderId="1" xfId="0" applyNumberFormat="1" applyFont="1" applyFill="1" applyAlignment="1">
      <alignment horizontal="right"/>
    </xf>
    <xf numFmtId="184" fontId="1" fillId="4" borderId="13" xfId="0" applyNumberFormat="1" applyFont="1" applyFill="1" applyBorder="1" applyAlignment="1">
      <alignment horizontal="right"/>
    </xf>
    <xf numFmtId="184" fontId="1" fillId="4" borderId="14" xfId="0" applyNumberFormat="1" applyFont="1" applyFill="1" applyBorder="1" applyAlignment="1">
      <alignment horizontal="right"/>
    </xf>
    <xf numFmtId="185" fontId="56" fillId="4" borderId="1" xfId="0" applyNumberFormat="1" applyFont="1" applyFill="1"/>
    <xf numFmtId="184" fontId="1" fillId="4" borderId="15" xfId="0" applyNumberFormat="1" applyFont="1" applyFill="1" applyBorder="1" applyAlignment="1">
      <alignment horizontal="right"/>
    </xf>
    <xf numFmtId="184" fontId="1" fillId="4" borderId="16" xfId="0" applyNumberFormat="1" applyFont="1" applyFill="1" applyBorder="1" applyAlignment="1">
      <alignment horizontal="right"/>
    </xf>
    <xf numFmtId="186" fontId="26" fillId="0" borderId="0" xfId="0" applyNumberFormat="1" applyFont="1" applyBorder="1"/>
    <xf numFmtId="0" fontId="61" fillId="7" borderId="17" xfId="0" applyFont="1" applyFill="1" applyBorder="1" applyAlignment="1">
      <alignment vertical="top" wrapText="1"/>
    </xf>
    <xf numFmtId="0" fontId="60" fillId="7" borderId="17" xfId="0" applyFont="1" applyFill="1" applyBorder="1" applyAlignment="1">
      <alignment vertical="top" wrapText="1"/>
    </xf>
    <xf numFmtId="175" fontId="63" fillId="8" borderId="1" xfId="0" applyNumberFormat="1" applyFont="1" applyFill="1" applyAlignment="1">
      <alignment horizontal="right"/>
    </xf>
    <xf numFmtId="0" fontId="62" fillId="0" borderId="18" xfId="0" applyFont="1" applyBorder="1" applyAlignment="1">
      <alignment vertical="top" wrapText="1"/>
    </xf>
    <xf numFmtId="0" fontId="65" fillId="10" borderId="18" xfId="0" applyFont="1" applyFill="1" applyBorder="1" applyAlignment="1">
      <alignment vertical="top" wrapText="1"/>
    </xf>
    <xf numFmtId="0" fontId="65" fillId="0" borderId="18" xfId="0" applyFont="1" applyBorder="1" applyAlignment="1">
      <alignment vertical="top" wrapText="1"/>
    </xf>
    <xf numFmtId="0" fontId="65" fillId="11" borderId="18" xfId="0" applyFont="1" applyFill="1" applyBorder="1" applyAlignment="1">
      <alignment vertical="top" wrapText="1"/>
    </xf>
    <xf numFmtId="0" fontId="62" fillId="12" borderId="18" xfId="0" applyFont="1" applyFill="1" applyBorder="1" applyAlignment="1">
      <alignment vertical="top" wrapText="1"/>
    </xf>
    <xf numFmtId="0" fontId="64" fillId="9" borderId="18" xfId="0" applyFont="1" applyFill="1" applyBorder="1" applyAlignment="1">
      <alignment horizontal="center" vertical="top" wrapText="1"/>
    </xf>
    <xf numFmtId="0" fontId="3" fillId="2" borderId="1" xfId="0" applyFont="1" applyFill="1" applyAlignment="1">
      <alignment horizontal="left"/>
    </xf>
    <xf numFmtId="0" fontId="0" fillId="0" borderId="0" xfId="0" applyBorder="1"/>
    <xf numFmtId="0" fontId="15" fillId="2" borderId="1" xfId="0" applyFont="1" applyFill="1" applyAlignment="1">
      <alignment horizontal="center"/>
    </xf>
    <xf numFmtId="0" fontId="14" fillId="0" borderId="1" xfId="0" applyFont="1" applyAlignment="1">
      <alignment horizontal="center"/>
    </xf>
    <xf numFmtId="0" fontId="17" fillId="2" borderId="1" xfId="0" applyFont="1" applyFill="1" applyAlignment="1">
      <alignment horizontal="center" vertical="top"/>
    </xf>
    <xf numFmtId="0" fontId="25" fillId="2" borderId="1" xfId="0" applyFont="1" applyFill="1" applyAlignment="1">
      <alignment horizontal="left"/>
    </xf>
    <xf numFmtId="0" fontId="39" fillId="4" borderId="1" xfId="0" applyFont="1" applyFill="1" applyAlignment="1">
      <alignment horizontal="left"/>
    </xf>
    <xf numFmtId="0" fontId="28" fillId="4" borderId="1" xfId="0" applyFont="1" applyFill="1" applyAlignment="1">
      <alignment horizontal="left"/>
    </xf>
    <xf numFmtId="0" fontId="59" fillId="5" borderId="1" xfId="0" applyFont="1" applyFill="1" applyAlignment="1">
      <alignment horizontal="left" vertical="top" wrapText="1"/>
    </xf>
    <xf numFmtId="0" fontId="64" fillId="9" borderId="18"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showGridLines="0" tabSelected="1" workbookViewId="0">
      <pane ySplit="3" topLeftCell="A4" activePane="bottomLeft" state="frozen"/>
      <selection pane="bottomLeft" sqref="A1:D1"/>
    </sheetView>
  </sheetViews>
  <sheetFormatPr defaultRowHeight="12.75" x14ac:dyDescent="0.2"/>
  <cols>
    <col min="1" max="1" width="24.7109375" customWidth="1"/>
    <col min="2" max="2" width="30.7109375" customWidth="1"/>
    <col min="3" max="3" width="28.7109375" customWidth="1"/>
    <col min="4" max="4" width="92.7109375" customWidth="1"/>
  </cols>
  <sheetData>
    <row r="1" spans="1:4" x14ac:dyDescent="0.2">
      <c r="A1" s="214" t="s">
        <v>0</v>
      </c>
      <c r="B1" s="214"/>
      <c r="C1" s="214"/>
      <c r="D1" s="214"/>
    </row>
    <row r="2" spans="1:4" x14ac:dyDescent="0.2">
      <c r="A2" s="209"/>
      <c r="B2" s="209"/>
      <c r="C2" s="209"/>
      <c r="D2" s="209"/>
    </row>
    <row r="3" spans="1:4" x14ac:dyDescent="0.2">
      <c r="A3" s="210" t="s">
        <v>1</v>
      </c>
      <c r="B3" s="210" t="s">
        <v>2</v>
      </c>
      <c r="C3" s="210" t="s">
        <v>3</v>
      </c>
      <c r="D3" s="210" t="s">
        <v>4</v>
      </c>
    </row>
    <row r="4" spans="1:4" x14ac:dyDescent="0.2">
      <c r="A4" s="211" t="s">
        <v>5</v>
      </c>
      <c r="B4" s="209" t="s">
        <v>6</v>
      </c>
      <c r="C4" s="212" t="s">
        <v>214</v>
      </c>
      <c r="D4" s="213" t="s">
        <v>219</v>
      </c>
    </row>
    <row r="5" spans="1:4" x14ac:dyDescent="0.2">
      <c r="A5" s="211" t="s">
        <v>7</v>
      </c>
      <c r="B5" s="209" t="s">
        <v>8</v>
      </c>
      <c r="C5" s="212" t="s">
        <v>9</v>
      </c>
      <c r="D5" s="213" t="s">
        <v>220</v>
      </c>
    </row>
    <row r="6" spans="1:4" x14ac:dyDescent="0.2">
      <c r="A6" s="211" t="s">
        <v>10</v>
      </c>
      <c r="B6" s="209" t="s">
        <v>11</v>
      </c>
      <c r="C6" s="212" t="s">
        <v>221</v>
      </c>
      <c r="D6" s="213" t="s">
        <v>222</v>
      </c>
    </row>
    <row r="7" spans="1:4" ht="25.5" x14ac:dyDescent="0.2">
      <c r="A7" s="211" t="s">
        <v>223</v>
      </c>
      <c r="B7" s="209" t="s">
        <v>224</v>
      </c>
      <c r="C7" s="212" t="s">
        <v>225</v>
      </c>
      <c r="D7" s="213" t="s">
        <v>226</v>
      </c>
    </row>
    <row r="8" spans="1:4" ht="25.5" x14ac:dyDescent="0.2">
      <c r="A8" s="211" t="s">
        <v>227</v>
      </c>
      <c r="B8" s="209" t="s">
        <v>228</v>
      </c>
      <c r="C8" s="212" t="s">
        <v>229</v>
      </c>
      <c r="D8" s="213" t="s">
        <v>230</v>
      </c>
    </row>
    <row r="9" spans="1:4" x14ac:dyDescent="0.2">
      <c r="A9" s="211" t="s">
        <v>12</v>
      </c>
      <c r="B9" s="209" t="s">
        <v>13</v>
      </c>
      <c r="C9" s="212" t="s">
        <v>14</v>
      </c>
      <c r="D9" s="213" t="s">
        <v>231</v>
      </c>
    </row>
  </sheetData>
  <mergeCells count="1">
    <mergeCell ref="A1: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43168</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43168</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79</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96500</v>
      </c>
      <c r="F23" s="2"/>
      <c r="G23" s="88"/>
      <c r="H23" s="88"/>
      <c r="I23" s="88"/>
      <c r="J23" s="96"/>
      <c r="K23" s="97"/>
      <c r="L23" s="98"/>
      <c r="M23" s="96"/>
      <c r="N23" s="2"/>
      <c r="O23" s="223" t="s">
        <v>91</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96500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7899580.517</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7657072.5470000003</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1.3897747862546768</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4.6933936898738011</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4.9755742504418299</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6.429034254560241</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70955.882352941189</v>
      </c>
      <c r="E51" s="172">
        <f>IF(ISERROR($E$27/D51-1),"NA",$E$27/D51-1)</f>
        <v>0.35999999999999965</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70955.882352941189</v>
      </c>
      <c r="E53" s="208">
        <v>0.14000000000000001</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72885.196374622348</v>
      </c>
      <c r="E54" s="208">
        <v>0.10800000000000001</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75984.25196850393</v>
      </c>
      <c r="E55" s="208">
        <v>8.6000000000000007E-2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43168</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174</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43238</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43238</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179</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60300</v>
      </c>
      <c r="F23" s="2"/>
      <c r="G23" s="88"/>
      <c r="H23" s="88"/>
      <c r="I23" s="88"/>
      <c r="J23" s="96"/>
      <c r="K23" s="97"/>
      <c r="L23" s="98"/>
      <c r="M23" s="96"/>
      <c r="N23" s="2"/>
      <c r="O23" s="223" t="s">
        <v>180</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60300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4936214.5614</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4693706.5914000003</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0.85191762710421948</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2.8770019825431632</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3.0499757592670136</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4.0173136326423062</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51101.694915254237</v>
      </c>
      <c r="E51" s="172">
        <f>IF(ISERROR($E$27/D51-1),"NA",$E$27/D51-1)</f>
        <v>0.17999999999999994</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51101.694915254237</v>
      </c>
      <c r="E53" s="208">
        <v>0.14500000000000002</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51893.287435456114</v>
      </c>
      <c r="E54" s="208">
        <v>0.112</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53127.753303964761</v>
      </c>
      <c r="E55" s="208">
        <v>8.8999999999999996E-2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43238</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181</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43271</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43271</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182</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64000</v>
      </c>
      <c r="F23" s="2"/>
      <c r="G23" s="88"/>
      <c r="H23" s="88"/>
      <c r="I23" s="88"/>
      <c r="J23" s="96"/>
      <c r="K23" s="97"/>
      <c r="L23" s="98"/>
      <c r="M23" s="96"/>
      <c r="N23" s="2"/>
      <c r="O23" s="223" t="s">
        <v>183</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64000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5239100.0320000006</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4996592.0620000008</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0.90689197762512275</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3.0626552785962948</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3.2467910746633351</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4.2638154641643045</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52459.016393442616</v>
      </c>
      <c r="E51" s="172">
        <f>IF(ISERROR($E$27/D51-1),"NA",$E$27/D51-1)</f>
        <v>0.2200000000000002</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52459.016393442616</v>
      </c>
      <c r="E53" s="208">
        <v>0.125</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53422.370617696157</v>
      </c>
      <c r="E54" s="208">
        <v>9.6000000000000002E-2</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54935.622317596557</v>
      </c>
      <c r="E55" s="208">
        <v>7.6999999999999999E-2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43271</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184</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Prime Group by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185</v>
      </c>
      <c r="F7" s="2"/>
      <c r="G7" s="88"/>
      <c r="H7" s="88"/>
      <c r="I7" s="88"/>
      <c r="J7" s="88"/>
      <c r="K7" s="90" t="s">
        <v>57</v>
      </c>
      <c r="L7" s="90" t="s">
        <v>58</v>
      </c>
      <c r="M7" s="88"/>
      <c r="N7" s="2"/>
      <c r="O7" s="223" t="s">
        <v>186</v>
      </c>
      <c r="P7" s="216"/>
      <c r="Q7" s="216"/>
      <c r="R7" s="216"/>
      <c r="S7" s="216"/>
      <c r="T7" s="2"/>
      <c r="U7" s="2"/>
      <c r="V7" s="2"/>
      <c r="W7" s="2"/>
      <c r="X7" s="2"/>
      <c r="Y7" s="2"/>
      <c r="Z7" s="2"/>
    </row>
    <row r="8" spans="1:26" ht="12.75" customHeight="1" x14ac:dyDescent="0.2">
      <c r="A8" s="2"/>
      <c r="B8" s="88" t="s">
        <v>60</v>
      </c>
      <c r="C8" s="88"/>
      <c r="D8" s="88"/>
      <c r="E8" s="141" t="s">
        <v>187</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7341176.4705882352</v>
      </c>
      <c r="K10" s="154">
        <v>7341176.4705882352</v>
      </c>
      <c r="L10" s="155">
        <v>7341176.4705882352</v>
      </c>
      <c r="M10" s="156">
        <f>J10+L10-K10</f>
        <v>7341176.4705882352</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4771764.7058823537</v>
      </c>
      <c r="K11" s="158">
        <v>4771764.7058823537</v>
      </c>
      <c r="L11" s="159">
        <v>4771764.7058823537</v>
      </c>
      <c r="M11" s="160">
        <f>J11+L11-K11</f>
        <v>4771764.7058823537</v>
      </c>
      <c r="N11" s="2"/>
      <c r="O11" s="216"/>
      <c r="P11" s="216"/>
      <c r="Q11" s="216"/>
      <c r="R11" s="216"/>
      <c r="S11" s="216"/>
      <c r="T11" s="2"/>
      <c r="U11" s="2"/>
      <c r="V11" s="2"/>
      <c r="W11" s="2"/>
      <c r="X11" s="2"/>
      <c r="Y11" s="2"/>
      <c r="Z11" s="2"/>
    </row>
    <row r="12" spans="1:26" ht="12.75" customHeight="1" x14ac:dyDescent="0.2">
      <c r="A12" s="2"/>
      <c r="B12" s="87" t="s">
        <v>23</v>
      </c>
      <c r="C12" s="88"/>
      <c r="D12" s="89"/>
      <c r="E12" s="141" t="s">
        <v>69</v>
      </c>
      <c r="F12" s="2"/>
      <c r="G12" s="87" t="s">
        <v>68</v>
      </c>
      <c r="H12" s="88"/>
      <c r="I12" s="88"/>
      <c r="J12" s="156">
        <f>J10-SUM(J11)</f>
        <v>2569411.7647058815</v>
      </c>
      <c r="K12" s="161">
        <f>K10-SUM(K11)</f>
        <v>2569411.7647058815</v>
      </c>
      <c r="L12" s="162">
        <f>L10-SUM(L11)</f>
        <v>2569411.7647058815</v>
      </c>
      <c r="M12" s="156">
        <f>M10-SUM(M11)</f>
        <v>2569411.7647058815</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1957647.0588235289</v>
      </c>
      <c r="K13" s="158">
        <v>1957647.0588235289</v>
      </c>
      <c r="L13" s="159">
        <v>1957647.0588235289</v>
      </c>
      <c r="M13" s="163">
        <f>J13+L13-K13</f>
        <v>1957647.0588235289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0</v>
      </c>
      <c r="K14" s="165">
        <v>0</v>
      </c>
      <c r="L14" s="166">
        <v>0</v>
      </c>
      <c r="M14" s="167">
        <f>J14+L14-K14</f>
        <v>0</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611764.70588235254</v>
      </c>
      <c r="K15" s="161">
        <f>K12-SUM(K13:K14)</f>
        <v>611764.70588235254</v>
      </c>
      <c r="L15" s="162">
        <f>L12-SUM(L13:L14)</f>
        <v>611764.70588235254</v>
      </c>
      <c r="M15" s="156">
        <f>M12-SUM(M13:M14)</f>
        <v>611764.70588235254</v>
      </c>
      <c r="N15" s="2"/>
      <c r="O15" s="223" t="s">
        <v>69</v>
      </c>
      <c r="P15" s="216"/>
      <c r="Q15" s="216"/>
      <c r="R15" s="216"/>
      <c r="S15" s="216"/>
      <c r="T15" s="2"/>
      <c r="U15" s="2"/>
      <c r="V15" s="2"/>
      <c r="W15" s="2"/>
      <c r="X15" s="2"/>
      <c r="Y15" s="2"/>
      <c r="Z15" s="2"/>
    </row>
    <row r="16" spans="1:26" ht="15" customHeight="1" x14ac:dyDescent="0.2">
      <c r="A16" s="2"/>
      <c r="B16" s="88" t="s">
        <v>74</v>
      </c>
      <c r="C16" s="88"/>
      <c r="D16" s="88"/>
      <c r="E16" s="143">
        <v>41261</v>
      </c>
      <c r="F16" s="2"/>
      <c r="G16" s="88" t="s">
        <v>75</v>
      </c>
      <c r="H16" s="93"/>
      <c r="I16" s="93"/>
      <c r="J16" s="157">
        <v>0</v>
      </c>
      <c r="K16" s="158">
        <v>0</v>
      </c>
      <c r="L16" s="159">
        <v>0</v>
      </c>
      <c r="M16" s="160">
        <f>J16+L16-K16</f>
        <v>0</v>
      </c>
      <c r="N16" s="2"/>
      <c r="O16" s="216"/>
      <c r="P16" s="216"/>
      <c r="Q16" s="216"/>
      <c r="R16" s="216"/>
      <c r="S16" s="216"/>
      <c r="T16" s="2"/>
      <c r="U16" s="2"/>
      <c r="V16" s="2"/>
      <c r="W16" s="2"/>
      <c r="X16" s="2"/>
      <c r="Y16" s="2"/>
      <c r="Z16" s="2"/>
    </row>
    <row r="17" spans="1:26" ht="12.75" customHeight="1" x14ac:dyDescent="0.2">
      <c r="A17" s="2"/>
      <c r="B17" s="88" t="s">
        <v>76</v>
      </c>
      <c r="C17" s="88"/>
      <c r="D17" s="88"/>
      <c r="E17" s="143">
        <v>41261</v>
      </c>
      <c r="F17" s="2"/>
      <c r="G17" s="87" t="s">
        <v>77</v>
      </c>
      <c r="H17" s="88"/>
      <c r="I17" s="88"/>
      <c r="J17" s="156">
        <f>J15-SUM(J16)</f>
        <v>611764.70588235254</v>
      </c>
      <c r="K17" s="161">
        <f>K15-SUM(K16)</f>
        <v>611764.70588235254</v>
      </c>
      <c r="L17" s="162">
        <f>L15-SUM(L16)</f>
        <v>611764.70588235254</v>
      </c>
      <c r="M17" s="156">
        <f>M15-SUM(M16)</f>
        <v>611764.70588235254</v>
      </c>
      <c r="N17" s="2"/>
      <c r="O17" s="216"/>
      <c r="P17" s="216"/>
      <c r="Q17" s="216"/>
      <c r="R17" s="216"/>
      <c r="S17" s="216"/>
      <c r="T17" s="2"/>
      <c r="U17" s="2"/>
      <c r="V17" s="2"/>
      <c r="W17" s="2"/>
      <c r="X17" s="2"/>
      <c r="Y17" s="2"/>
      <c r="Z17" s="2"/>
    </row>
    <row r="18" spans="1:26" ht="12.75" customHeight="1" x14ac:dyDescent="0.2">
      <c r="A18" s="2"/>
      <c r="B18" s="88" t="s">
        <v>78</v>
      </c>
      <c r="C18" s="88"/>
      <c r="D18" s="88"/>
      <c r="E18" s="141" t="s">
        <v>188</v>
      </c>
      <c r="F18" s="2"/>
      <c r="G18" s="88" t="s">
        <v>80</v>
      </c>
      <c r="H18" s="88"/>
      <c r="I18" s="88"/>
      <c r="J18" s="157">
        <v>122352.9411764706</v>
      </c>
      <c r="K18" s="158">
        <v>122352.9411764706</v>
      </c>
      <c r="L18" s="159">
        <v>122352.9411764706</v>
      </c>
      <c r="M18" s="163">
        <f>J18+L18-K18</f>
        <v>122352.9411764706</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489411.76470588194</v>
      </c>
      <c r="K21" s="170">
        <f>K17-SUM(K18:K20)</f>
        <v>489411.76470588194</v>
      </c>
      <c r="L21" s="171">
        <f>L17-SUM(L18:L20)</f>
        <v>489411.76470588194</v>
      </c>
      <c r="M21" s="169">
        <f>M17-SUM(M18:M20)</f>
        <v>489411.76470588194</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0.20000000000000015</v>
      </c>
      <c r="K22" s="173">
        <f>+IF(ISERROR(K18/K17),"NA",K18/K17)</f>
        <v>0.20000000000000015</v>
      </c>
      <c r="L22" s="174">
        <f>+IF(ISERROR(L18/L17),"NA",L18/L17)</f>
        <v>0.20000000000000015</v>
      </c>
      <c r="M22" s="172">
        <f>+IF(ISERROR(M18/M17),"NA",M18/M17)</f>
        <v>0.20000000000000015</v>
      </c>
      <c r="N22" s="2"/>
      <c r="O22" s="220" t="s">
        <v>89</v>
      </c>
      <c r="P22" s="216"/>
      <c r="Q22" s="216"/>
      <c r="R22" s="216"/>
      <c r="S22" s="216"/>
      <c r="T22" s="2"/>
      <c r="U22" s="2"/>
      <c r="V22" s="2"/>
      <c r="W22" s="2"/>
      <c r="X22" s="2"/>
      <c r="Y22" s="2"/>
      <c r="Z22" s="2"/>
    </row>
    <row r="23" spans="1:26" ht="12.75" customHeight="1" x14ac:dyDescent="0.2">
      <c r="A23" s="2"/>
      <c r="B23" s="88" t="s">
        <v>90</v>
      </c>
      <c r="C23" s="88"/>
      <c r="D23" s="88"/>
      <c r="E23" s="144">
        <v>7341176.4705882352</v>
      </c>
      <c r="F23" s="2"/>
      <c r="G23" s="88"/>
      <c r="H23" s="88"/>
      <c r="I23" s="88"/>
      <c r="J23" s="96"/>
      <c r="K23" s="97"/>
      <c r="L23" s="98"/>
      <c r="M23" s="96"/>
      <c r="N23" s="2"/>
      <c r="O23" s="223" t="s">
        <v>189</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1</v>
      </c>
      <c r="K24" s="158">
        <v>1</v>
      </c>
      <c r="L24" s="159">
        <v>1</v>
      </c>
      <c r="M24" s="163">
        <f>+IF(ISERROR(J24+L24-K24),"NA",J24+L24-K24)</f>
        <v>1</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489411.76470588194</v>
      </c>
      <c r="K25" s="103">
        <f>IF(ISERROR(K21/K24),"NA",K21/K24)</f>
        <v>489411.76470588194</v>
      </c>
      <c r="L25" s="104">
        <f>IF(ISERROR(L21/L24),"NA",L21/L24)</f>
        <v>489411.76470588194</v>
      </c>
      <c r="M25" s="102">
        <f>+IF(ISERROR(J25+L25-K25),"NA",J25+L25-K25)</f>
        <v>489411.76470588194</v>
      </c>
      <c r="N25" s="2"/>
      <c r="O25" s="216"/>
      <c r="P25" s="216"/>
      <c r="Q25" s="216"/>
      <c r="R25" s="216"/>
      <c r="S25" s="216"/>
      <c r="T25" s="2"/>
      <c r="U25" s="2"/>
      <c r="V25" s="2"/>
      <c r="W25" s="2"/>
      <c r="X25" s="2"/>
      <c r="Y25" s="2"/>
      <c r="Z25" s="2"/>
    </row>
    <row r="26" spans="1:26" ht="15" customHeight="1" x14ac:dyDescent="0.2">
      <c r="A26" s="2"/>
      <c r="B26" s="100" t="str">
        <f>""&amp;E12&amp;" Share Price"</f>
        <v>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7341176.4705882352</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2569411.7647058815</v>
      </c>
      <c r="K28" s="176">
        <f>K12</f>
        <v>2569411.7647058815</v>
      </c>
      <c r="L28" s="177">
        <f>L12</f>
        <v>2569411.7647058815</v>
      </c>
      <c r="M28" s="175">
        <f>M12</f>
        <v>2569411.7647058815</v>
      </c>
      <c r="N28" s="2"/>
      <c r="O28" s="216"/>
      <c r="P28" s="216"/>
      <c r="Q28" s="216"/>
      <c r="R28" s="216"/>
      <c r="S28" s="216"/>
      <c r="T28" s="2"/>
      <c r="U28" s="2"/>
      <c r="V28" s="2"/>
      <c r="W28" s="2"/>
      <c r="X28" s="2"/>
      <c r="Y28" s="2"/>
      <c r="Z28" s="2"/>
    </row>
    <row r="29" spans="1:26" ht="15" customHeight="1" x14ac:dyDescent="0.2">
      <c r="A29" s="2"/>
      <c r="B29" s="88" t="s">
        <v>100</v>
      </c>
      <c r="C29" s="88"/>
      <c r="D29" s="88"/>
      <c r="E29" s="107">
        <f>+S36</f>
        <v>1</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7341176.4705882352</v>
      </c>
      <c r="F30" s="2"/>
      <c r="G30" s="87" t="s">
        <v>103</v>
      </c>
      <c r="H30" s="88"/>
      <c r="I30" s="88"/>
      <c r="J30" s="156">
        <f>J28+J29</f>
        <v>2569411.7647058815</v>
      </c>
      <c r="K30" s="161">
        <f>K28+K29</f>
        <v>2569411.7647058815</v>
      </c>
      <c r="L30" s="162">
        <f>L28+L29</f>
        <v>2569411.7647058815</v>
      </c>
      <c r="M30" s="156">
        <f>M28+M29</f>
        <v>2569411.7647058815</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0.34999999999999987</v>
      </c>
      <c r="K31" s="173">
        <f>IF(ISERROR(K30/K10),"NA",K30/K10)</f>
        <v>0.34999999999999987</v>
      </c>
      <c r="L31" s="174">
        <f>IF(ISERROR(L30/L10),"NA",L30/L10)</f>
        <v>0.34999999999999987</v>
      </c>
      <c r="M31" s="172">
        <f>IF(ISERROR(M30/M10),"NA",M30/M10)</f>
        <v>0.34999999999999987</v>
      </c>
      <c r="N31" s="2"/>
      <c r="O31" s="88" t="s">
        <v>106</v>
      </c>
      <c r="P31" s="88"/>
      <c r="Q31" s="88"/>
      <c r="R31" s="88"/>
      <c r="S31" s="145">
        <v>1</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0</v>
      </c>
      <c r="F33" s="2"/>
      <c r="G33" s="88" t="s">
        <v>110</v>
      </c>
      <c r="H33" s="88"/>
      <c r="I33" s="88"/>
      <c r="J33" s="175">
        <f>J15</f>
        <v>611764.70588235254</v>
      </c>
      <c r="K33" s="183">
        <f>K15</f>
        <v>611764.70588235254</v>
      </c>
      <c r="L33" s="184">
        <f>L15</f>
        <v>611764.70588235254</v>
      </c>
      <c r="M33" s="175">
        <f>M15</f>
        <v>611764.70588235254</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0</v>
      </c>
      <c r="F36" s="2"/>
      <c r="G36" s="87" t="s">
        <v>118</v>
      </c>
      <c r="H36" s="88"/>
      <c r="I36" s="88"/>
      <c r="J36" s="156">
        <f>SUM(J33:J35)</f>
        <v>611764.70588235254</v>
      </c>
      <c r="K36" s="161">
        <f>SUM(K33:K35)</f>
        <v>611764.70588235254</v>
      </c>
      <c r="L36" s="162">
        <f>SUM(L33:L35)</f>
        <v>611764.70588235254</v>
      </c>
      <c r="M36" s="156">
        <f>SUM(M33:M35)</f>
        <v>611764.70588235254</v>
      </c>
      <c r="N36" s="2"/>
      <c r="O36" s="87" t="s">
        <v>119</v>
      </c>
      <c r="P36" s="88"/>
      <c r="Q36" s="88"/>
      <c r="R36" s="88"/>
      <c r="S36" s="117">
        <f>+S31+SUM(S34:S35)</f>
        <v>1</v>
      </c>
      <c r="T36" s="2"/>
      <c r="U36" s="2"/>
      <c r="V36" s="2"/>
      <c r="W36" s="2"/>
      <c r="X36" s="2"/>
      <c r="Y36" s="2"/>
      <c r="Z36" s="2"/>
    </row>
    <row r="37" spans="1:26" ht="15" customHeight="1" x14ac:dyDescent="0.2">
      <c r="A37" s="2"/>
      <c r="B37" s="87" t="s">
        <v>120</v>
      </c>
      <c r="C37" s="88"/>
      <c r="D37" s="88"/>
      <c r="E37" s="186">
        <f>+E30+SUM(E33:E35)+E36</f>
        <v>7341176.4705882352</v>
      </c>
      <c r="F37" s="118"/>
      <c r="G37" s="94" t="s">
        <v>105</v>
      </c>
      <c r="H37" s="94"/>
      <c r="I37" s="94"/>
      <c r="J37" s="172">
        <f>IF(ISERROR(J36/J10),"NA",J36/J10)</f>
        <v>8.3333333333333287E-2</v>
      </c>
      <c r="K37" s="173">
        <f>IF(ISERROR(K36/K10),"NA",K36/K10)</f>
        <v>8.3333333333333287E-2</v>
      </c>
      <c r="L37" s="174">
        <f>IF(ISERROR(L36/L10),"NA",L36/L10)</f>
        <v>8.3333333333333287E-2</v>
      </c>
      <c r="M37" s="172">
        <f>IF(ISERROR(M36/M10),"NA",M36/M10)</f>
        <v>8.3333333333333287E-2</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203921.56862745099</v>
      </c>
      <c r="K39" s="120">
        <f>+K54</f>
        <v>203921.56862745099</v>
      </c>
      <c r="L39" s="121">
        <f>+L54</f>
        <v>203921.56862745099</v>
      </c>
      <c r="M39" s="119">
        <f>+M54</f>
        <v>203921.56862745099</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v>
      </c>
      <c r="F40" s="2"/>
      <c r="G40" s="87" t="s">
        <v>128</v>
      </c>
      <c r="H40" s="88"/>
      <c r="I40" s="88"/>
      <c r="J40" s="156">
        <f>+J36+J39</f>
        <v>815686.27450980351</v>
      </c>
      <c r="K40" s="161">
        <f>+K36+K39</f>
        <v>815686.27450980351</v>
      </c>
      <c r="L40" s="162">
        <f>+L36+L39</f>
        <v>815686.27450980351</v>
      </c>
      <c r="M40" s="156">
        <f>+M36+M39</f>
        <v>815686.27450980351</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7341176.4705882352</v>
      </c>
      <c r="F41" s="2"/>
      <c r="G41" s="94" t="s">
        <v>105</v>
      </c>
      <c r="H41" s="94"/>
      <c r="I41" s="94"/>
      <c r="J41" s="172">
        <f>IF(ISERROR(J40/J10),"NA",J40/J10)</f>
        <v>0.11111111111111106</v>
      </c>
      <c r="K41" s="173">
        <f>IF(ISERROR(K40/K10),"NA",K40/K10)</f>
        <v>0.11111111111111106</v>
      </c>
      <c r="L41" s="174">
        <f>IF(ISERROR(L40/L10),"NA",L40/L10)</f>
        <v>0.11111111111111106</v>
      </c>
      <c r="M41" s="172">
        <f>IF(ISERROR(M40/M10),"NA",M40/M10)</f>
        <v>0.11111111111111106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9.0000000000000036</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815686.27450980351</v>
      </c>
      <c r="F43" s="2"/>
      <c r="G43" s="88" t="s">
        <v>137</v>
      </c>
      <c r="H43" s="88"/>
      <c r="I43" s="88"/>
      <c r="J43" s="175">
        <f>J21</f>
        <v>489411.76470588194</v>
      </c>
      <c r="K43" s="183">
        <f>K21</f>
        <v>489411.76470588194</v>
      </c>
      <c r="L43" s="184">
        <f>L21</f>
        <v>489411.76470588194</v>
      </c>
      <c r="M43" s="175">
        <f>M21</f>
        <v>489411.76470588194</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12.000000000000007</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611764.70588235254</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15.000000000000012</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489411.76470588194</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489411.76470588194</v>
      </c>
      <c r="K48" s="170">
        <f>SUM(K43:K47)</f>
        <v>489411.76470588194</v>
      </c>
      <c r="L48" s="171">
        <f>SUM(L43:L47)</f>
        <v>489411.76470588194</v>
      </c>
      <c r="M48" s="169">
        <f>SUM(M43:M47)</f>
        <v>489411.76470588194</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6.666666666666661E-2</v>
      </c>
      <c r="K49" s="173">
        <f>IF(ISERROR(K48/K10),"NA",K48/K10)</f>
        <v>6.666666666666661E-2</v>
      </c>
      <c r="L49" s="174">
        <f>IF(ISERROR(L48/L10),"NA",L48/L10)</f>
        <v>6.666666666666661E-2</v>
      </c>
      <c r="M49" s="172">
        <f>IF(ISERROR(M48/M10),"NA",M48/M10)</f>
        <v>6.666666666666661E-2</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5872941.176470588</v>
      </c>
      <c r="E51" s="172">
        <f>IF(ISERROR($E$27/D51-1),"NA",$E$27/D51-1)</f>
        <v>0.25</v>
      </c>
      <c r="F51" s="2"/>
      <c r="G51" s="88" t="s">
        <v>157</v>
      </c>
      <c r="H51" s="88"/>
      <c r="I51" s="88"/>
      <c r="J51" s="102">
        <f>IF(ISERROR(J48/J24),0,J48/J24)</f>
        <v>489411.76470588194</v>
      </c>
      <c r="K51" s="103">
        <f>IF(ISERROR(K48/K24),0,K48/K24)</f>
        <v>489411.76470588194</v>
      </c>
      <c r="L51" s="104">
        <f>IF(ISERROR(L48/L24),0,L48/L24)</f>
        <v>489411.76470588194</v>
      </c>
      <c r="M51" s="102">
        <f>IF(ISERROR(M48/M24),0,M48/M24)</f>
        <v>489411.76470588194</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5872941.176470588</v>
      </c>
      <c r="E53" s="208">
        <v>0.13500000000000001</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5992797.1188475387</v>
      </c>
      <c r="E54" s="208">
        <v>0.10400000000000001</v>
      </c>
      <c r="F54" s="2"/>
      <c r="G54" s="88" t="s">
        <v>123</v>
      </c>
      <c r="H54" s="88"/>
      <c r="I54" s="88"/>
      <c r="J54" s="157">
        <v>203921.56862745099</v>
      </c>
      <c r="K54" s="197">
        <v>203921.56862745099</v>
      </c>
      <c r="L54" s="198">
        <v>203921.56862745099</v>
      </c>
      <c r="M54" s="163">
        <f>J54+L54-K54</f>
        <v>203921.56862745099</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6182043.3436532496</v>
      </c>
      <c r="E55" s="208">
        <v>8.3000000000000004E-2</v>
      </c>
      <c r="F55" s="2"/>
      <c r="G55" s="94" t="s">
        <v>166</v>
      </c>
      <c r="H55" s="94"/>
      <c r="I55" s="94"/>
      <c r="J55" s="199">
        <f>IF(ISERROR(J54/J10),"NA",J54/J10)</f>
        <v>2.777777777777778E-2</v>
      </c>
      <c r="K55" s="200">
        <f>IF(ISERROR(K54/K10),"NA",K54/K10)</f>
        <v>2.777777777777778E-2</v>
      </c>
      <c r="L55" s="201">
        <f>IF(ISERROR(L54/L10),"NA",L54/L10)</f>
        <v>2.777777777777778E-2</v>
      </c>
      <c r="M55" s="199">
        <f>IF(ISERROR(M54/M10),"NA",M54/M10)</f>
        <v>2.777777777777778E-2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183529.4117647059</v>
      </c>
      <c r="K56" s="158">
        <v>183529.4117647059</v>
      </c>
      <c r="L56" s="159">
        <v>183529.4117647059</v>
      </c>
      <c r="M56" s="163">
        <f>J56+L56-K56</f>
        <v>183529.4117647059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2.5000000000000005E-2</v>
      </c>
      <c r="K57" s="203">
        <f>IF(ISERROR(K56/K10),"NA",K56/K10)</f>
        <v>2.5000000000000005E-2</v>
      </c>
      <c r="L57" s="204">
        <f>IF(ISERROR(L56/L10),"NA",L56/L10)</f>
        <v>2.5000000000000005E-2</v>
      </c>
      <c r="M57" s="199">
        <f>IF(ISERROR(M56/M10),"NA",M56/M10)</f>
        <v>2.5000000000000005E-2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Prime Group 10-K</v>
      </c>
      <c r="C59" s="93"/>
      <c r="D59" s="134" t="s">
        <v>172</v>
      </c>
      <c r="E59" s="134">
        <v>41261</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Prime Group 10-Q</v>
      </c>
      <c r="C60" s="93"/>
      <c r="D60" s="134">
        <v>0</v>
      </c>
      <c r="E60" s="134">
        <v>0</v>
      </c>
      <c r="F60" s="2"/>
      <c r="G60" s="135" t="s">
        <v>190</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Prime Group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Prime Group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8"/>
  <sheetViews>
    <sheetView showGridLines="0" workbookViewId="0">
      <pane ySplit="3" topLeftCell="A4" activePane="bottomLeft" state="frozen"/>
      <selection pane="bottomLeft"/>
    </sheetView>
  </sheetViews>
  <sheetFormatPr defaultRowHeight="12.75" x14ac:dyDescent="0.2"/>
  <cols>
    <col min="1" max="1" width="24.7109375" style="147" customWidth="1"/>
    <col min="2" max="2" width="120.7109375" style="147" customWidth="1"/>
    <col min="3" max="3" width="18.7109375" style="147" customWidth="1"/>
    <col min="4" max="4" width="18.7109375" customWidth="1"/>
  </cols>
  <sheetData>
    <row r="1" spans="1:4" x14ac:dyDescent="0.2">
      <c r="A1" s="224" t="s">
        <v>215</v>
      </c>
      <c r="B1" s="224"/>
      <c r="C1" s="224"/>
      <c r="D1" s="224"/>
    </row>
    <row r="2" spans="1:4" x14ac:dyDescent="0.2">
      <c r="A2" s="210" t="s">
        <v>216</v>
      </c>
      <c r="B2" s="209" t="s">
        <v>217</v>
      </c>
      <c r="C2" s="209"/>
      <c r="D2" s="209"/>
    </row>
    <row r="3" spans="1:4" ht="25.5" x14ac:dyDescent="0.2">
      <c r="A3" s="210" t="s">
        <v>232</v>
      </c>
      <c r="B3" s="209" t="s">
        <v>226</v>
      </c>
      <c r="C3" s="209"/>
      <c r="D3" s="209"/>
    </row>
    <row r="4" spans="1:4" x14ac:dyDescent="0.2">
      <c r="A4" s="210" t="s">
        <v>218</v>
      </c>
      <c r="B4" s="209" t="s">
        <v>233</v>
      </c>
      <c r="C4" s="209"/>
      <c r="D4" s="209"/>
    </row>
    <row r="5" spans="1:4" x14ac:dyDescent="0.2">
      <c r="A5"/>
      <c r="B5"/>
      <c r="C5"/>
    </row>
    <row r="6" spans="1:4" ht="67.5" x14ac:dyDescent="0.2">
      <c r="A6" s="206" t="s">
        <v>205</v>
      </c>
      <c r="B6" s="207" t="s">
        <v>206</v>
      </c>
      <c r="C6" s="207" t="s">
        <v>207</v>
      </c>
    </row>
    <row r="7" spans="1:4" ht="67.5" x14ac:dyDescent="0.2">
      <c r="A7" s="149" t="s">
        <v>208</v>
      </c>
      <c r="B7" s="150" t="s">
        <v>209</v>
      </c>
      <c r="C7" s="150" t="s">
        <v>210</v>
      </c>
    </row>
    <row r="8" spans="1:4" ht="94.5" x14ac:dyDescent="0.2">
      <c r="A8" s="206" t="s">
        <v>211</v>
      </c>
      <c r="B8" s="207" t="s">
        <v>212</v>
      </c>
      <c r="C8" s="207" t="s">
        <v>213</v>
      </c>
    </row>
  </sheetData>
  <mergeCells count="1">
    <mergeCell ref="A1:D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2.5703125" defaultRowHeight="15" customHeight="1" x14ac:dyDescent="0.2"/>
  <cols>
    <col min="1" max="4" width="13.28515625" style="147" customWidth="1"/>
    <col min="5" max="5" width="44.85546875" style="147" customWidth="1"/>
    <col min="6" max="8" width="10.7109375" style="147" customWidth="1"/>
    <col min="9" max="26" width="8" style="147" customWidth="1"/>
  </cols>
  <sheetData>
    <row r="1" spans="1:26" ht="12.75" customHeight="1" x14ac:dyDescent="0.2">
      <c r="A1" s="1" t="s">
        <v>15</v>
      </c>
      <c r="B1" s="1"/>
      <c r="C1" s="1"/>
      <c r="D1" s="1"/>
      <c r="E1" s="2"/>
      <c r="F1" s="2"/>
      <c r="G1" s="2"/>
      <c r="H1" s="2"/>
      <c r="I1" s="2"/>
      <c r="J1" s="2"/>
      <c r="K1" s="2"/>
      <c r="L1" s="2"/>
      <c r="M1" s="2"/>
      <c r="N1" s="2"/>
      <c r="O1" s="2"/>
      <c r="P1" s="2"/>
      <c r="Q1" s="2"/>
      <c r="R1" s="2"/>
      <c r="S1" s="2"/>
      <c r="T1" s="2"/>
      <c r="U1" s="2"/>
      <c r="V1" s="2"/>
      <c r="W1" s="2"/>
      <c r="X1" s="2"/>
      <c r="Y1" s="2"/>
      <c r="Z1" s="2"/>
    </row>
    <row r="2" spans="1:26" ht="22.5" customHeight="1" x14ac:dyDescent="0.25">
      <c r="A2" s="215" t="s">
        <v>16</v>
      </c>
      <c r="B2" s="216"/>
      <c r="C2" s="216"/>
      <c r="D2" s="216"/>
      <c r="E2" s="216"/>
      <c r="F2" s="216"/>
      <c r="G2" s="216"/>
      <c r="H2" s="216"/>
      <c r="I2" s="2"/>
      <c r="J2" s="2"/>
      <c r="K2" s="2"/>
      <c r="L2" s="2"/>
      <c r="M2" s="2"/>
      <c r="N2" s="2"/>
      <c r="O2" s="2"/>
      <c r="P2" s="2"/>
      <c r="Q2" s="2"/>
      <c r="R2" s="2"/>
      <c r="S2" s="2"/>
      <c r="T2" s="2"/>
      <c r="U2" s="2"/>
      <c r="V2" s="2"/>
      <c r="W2" s="2"/>
      <c r="X2" s="2"/>
      <c r="Y2" s="2"/>
      <c r="Z2" s="2"/>
    </row>
    <row r="3" spans="1:26" ht="11.25" customHeight="1" x14ac:dyDescent="0.2">
      <c r="A3" s="3" t="s">
        <v>17</v>
      </c>
      <c r="B3" s="4"/>
      <c r="C3" s="5"/>
      <c r="D3" s="5" t="s">
        <v>18</v>
      </c>
      <c r="E3" s="4"/>
      <c r="F3" s="5" t="s">
        <v>19</v>
      </c>
      <c r="G3" s="5" t="s">
        <v>20</v>
      </c>
      <c r="H3" s="5" t="s">
        <v>21</v>
      </c>
      <c r="I3" s="6"/>
      <c r="J3" s="6"/>
      <c r="K3" s="6"/>
      <c r="L3" s="6"/>
      <c r="M3" s="6"/>
      <c r="N3" s="6"/>
      <c r="O3" s="6"/>
      <c r="P3" s="6"/>
      <c r="Q3" s="6"/>
      <c r="R3" s="6"/>
      <c r="S3" s="6"/>
      <c r="T3" s="6"/>
      <c r="U3" s="6"/>
      <c r="V3" s="6"/>
      <c r="W3" s="6"/>
      <c r="X3" s="6"/>
      <c r="Y3" s="6"/>
      <c r="Z3" s="6"/>
    </row>
    <row r="4" spans="1:26" ht="13.5" customHeight="1" x14ac:dyDescent="0.2">
      <c r="A4" s="7" t="s">
        <v>22</v>
      </c>
      <c r="B4" s="8" t="s">
        <v>23</v>
      </c>
      <c r="C4" s="8" t="s">
        <v>24</v>
      </c>
      <c r="D4" s="8" t="s">
        <v>25</v>
      </c>
      <c r="E4" s="9" t="s">
        <v>26</v>
      </c>
      <c r="F4" s="8" t="s">
        <v>27</v>
      </c>
      <c r="G4" s="8" t="s">
        <v>27</v>
      </c>
      <c r="H4" s="8" t="s">
        <v>28</v>
      </c>
      <c r="I4" s="6"/>
      <c r="J4" s="6"/>
      <c r="K4" s="6"/>
      <c r="L4" s="6"/>
      <c r="M4" s="6"/>
      <c r="N4" s="6"/>
      <c r="O4" s="6"/>
      <c r="P4" s="6"/>
      <c r="Q4" s="6"/>
      <c r="R4" s="6"/>
      <c r="S4" s="6"/>
      <c r="T4" s="6"/>
      <c r="U4" s="6"/>
      <c r="V4" s="6"/>
      <c r="W4" s="6"/>
      <c r="X4" s="6"/>
      <c r="Y4" s="6"/>
      <c r="Z4" s="6"/>
    </row>
    <row r="5" spans="1:26" ht="49.5" customHeight="1" x14ac:dyDescent="0.2">
      <c r="A5" s="10">
        <f>'ACQR;TRGT 1'!$E$16</f>
        <v>43168</v>
      </c>
      <c r="B5" s="11" t="str">
        <f>'ACQR;TRGT 1'!$E$12</f>
        <v>Nawaplastic Industries (SCG)</v>
      </c>
      <c r="C5" s="11" t="str">
        <f>'ACQR;TRGT 1'!$E$7</f>
        <v>Công ty Cổ phần Nhựa Bình Minh</v>
      </c>
      <c r="D5" s="11" t="str">
        <f>'ACQR;TRGT 1'!$E$18</f>
        <v>Majority stake acquisition</v>
      </c>
      <c r="E5" s="11" t="str">
        <f>'ACQR;TRGT 1'!$O$7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5" s="12">
        <f>'ACQR;TRGT 1'!$E$30</f>
        <v>7899580.517</v>
      </c>
      <c r="G5" s="12">
        <f>'ACQR;TRGT 1'!$E$37</f>
        <v>7657072.5470000003</v>
      </c>
      <c r="H5" s="12">
        <f>'ACQR;TRGT 1'!$M$10</f>
        <v>5509577.9709999999</v>
      </c>
      <c r="I5" s="2"/>
      <c r="J5" s="2"/>
      <c r="K5" s="2"/>
      <c r="L5" s="2"/>
      <c r="M5" s="2"/>
      <c r="N5" s="2"/>
      <c r="O5" s="2"/>
      <c r="P5" s="2"/>
      <c r="Q5" s="2"/>
      <c r="R5" s="2"/>
      <c r="S5" s="2"/>
      <c r="T5" s="2"/>
      <c r="U5" s="2"/>
      <c r="V5" s="2"/>
      <c r="W5" s="2"/>
      <c r="X5" s="2"/>
      <c r="Y5" s="2"/>
      <c r="Z5" s="2"/>
    </row>
    <row r="6" spans="1:26" ht="49.5" customHeight="1" x14ac:dyDescent="0.2">
      <c r="A6" s="13">
        <f>'ACQR;TRGT 2'!$E$16</f>
        <v>43238</v>
      </c>
      <c r="B6" s="14" t="str">
        <f>'ACQR;TRGT 2'!$E$12</f>
        <v>Nawaplastic Industries (SCG)</v>
      </c>
      <c r="C6" s="14" t="str">
        <f>'ACQR;TRGT 2'!$E$7</f>
        <v>Công ty Cổ phần Nhựa Bình Minh</v>
      </c>
      <c r="D6" s="15" t="str">
        <f>'ACQR;TRGT 2'!E18</f>
        <v>Tender offer</v>
      </c>
      <c r="E6" s="15" t="str">
        <f>'ACQR;TRGT 2'!$O$7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6" s="16">
        <f>'ACQR;TRGT 2'!$E$30</f>
        <v>4936214.5614</v>
      </c>
      <c r="G6" s="16">
        <f>'ACQR;TRGT 2'!$E$37</f>
        <v>4693706.5914000003</v>
      </c>
      <c r="H6" s="16">
        <f>'ACQR;TRGT 2'!$M$10</f>
        <v>5509577.9709999999</v>
      </c>
      <c r="I6" s="2"/>
      <c r="J6" s="2"/>
      <c r="K6" s="2"/>
      <c r="L6" s="2"/>
      <c r="M6" s="2"/>
      <c r="N6" s="2"/>
      <c r="O6" s="2"/>
      <c r="P6" s="2"/>
      <c r="Q6" s="2"/>
      <c r="R6" s="2"/>
      <c r="S6" s="2"/>
      <c r="T6" s="2"/>
      <c r="U6" s="2"/>
      <c r="V6" s="2"/>
      <c r="W6" s="2"/>
      <c r="X6" s="2"/>
      <c r="Y6" s="2"/>
      <c r="Z6" s="2"/>
    </row>
    <row r="7" spans="1:26" ht="49.5" customHeight="1" x14ac:dyDescent="0.2">
      <c r="A7" s="13">
        <f>'ACQR;TRGT 3'!$E$16</f>
        <v>43271</v>
      </c>
      <c r="B7" s="14" t="str">
        <f>'ACQR;TRGT 3'!$E$12</f>
        <v>Nawaplastic Industries (SCG)</v>
      </c>
      <c r="C7" s="14" t="str">
        <f>'ACQR;TRGT 3'!$E$7</f>
        <v>Công ty Cổ phần Nhựa Bình Minh</v>
      </c>
      <c r="D7" s="15" t="str">
        <f>'ACQR;TRGT 3'!E18</f>
        <v>Follow-on purchase</v>
      </c>
      <c r="E7" s="15" t="str">
        <f>'ACQR;TRGT 3'!$O$7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7" s="16">
        <f>'ACQR;TRGT 3'!$E$30</f>
        <v>5239100.0320000006</v>
      </c>
      <c r="G7" s="16">
        <f>'ACQR;TRGT 3'!$E$37</f>
        <v>4996592.0620000008</v>
      </c>
      <c r="H7" s="16">
        <f>'ACQR;TRGT 3'!$M$10</f>
        <v>5509577.9709999999</v>
      </c>
      <c r="I7" s="2"/>
      <c r="J7" s="2"/>
      <c r="K7" s="2"/>
      <c r="L7" s="2"/>
      <c r="M7" s="2"/>
      <c r="N7" s="2"/>
      <c r="O7" s="2"/>
      <c r="P7" s="2"/>
      <c r="Q7" s="2"/>
      <c r="R7" s="2"/>
      <c r="S7" s="2"/>
      <c r="T7" s="2"/>
      <c r="U7" s="2"/>
      <c r="V7" s="2"/>
      <c r="W7" s="2"/>
      <c r="X7" s="2"/>
      <c r="Y7" s="2"/>
      <c r="Z7" s="2"/>
    </row>
    <row r="8" spans="1:26" ht="49.5" customHeight="1" x14ac:dyDescent="0.2">
      <c r="A8" s="13">
        <f>'ACQR;TRGT 4'!$E$16</f>
        <v>41261</v>
      </c>
      <c r="B8" s="14" t="str">
        <f>'ACQR;TRGT 4'!$E$12</f>
        <v>SCG</v>
      </c>
      <c r="C8" s="14" t="str">
        <f>'ACQR;TRGT 4'!$E$7</f>
        <v>Prime Group</v>
      </c>
      <c r="D8" s="15" t="str">
        <f>'ACQR;TRGT 4'!E18</f>
        <v>Majority acquisition</v>
      </c>
      <c r="E8" s="15" t="str">
        <f>'ACQR;TRGT 4'!$O$7</f>
        <v>Vietnam building materials and ceramic tile manufacturer.</v>
      </c>
      <c r="F8" s="16">
        <f>'ACQR;TRGT 4'!$E$30</f>
        <v>7341176.4705882352</v>
      </c>
      <c r="G8" s="16">
        <f>'ACQR;TRGT 4'!$E$37</f>
        <v>7341176.4705882352</v>
      </c>
      <c r="H8" s="16">
        <f>'ACQR;TRGT 4'!$M$10</f>
        <v>7341176.4705882352</v>
      </c>
      <c r="I8" s="2"/>
      <c r="J8" s="2"/>
      <c r="K8" s="2"/>
      <c r="L8" s="2"/>
      <c r="M8" s="2"/>
      <c r="N8" s="2"/>
      <c r="O8" s="2"/>
      <c r="P8" s="2"/>
      <c r="Q8" s="2"/>
      <c r="R8" s="2"/>
      <c r="S8" s="2"/>
      <c r="T8" s="2"/>
      <c r="U8" s="2"/>
      <c r="V8" s="2"/>
      <c r="W8" s="2"/>
      <c r="X8" s="2"/>
      <c r="Y8" s="2"/>
      <c r="Z8" s="2"/>
    </row>
    <row r="9" spans="1:26" ht="49.5" customHeight="1" x14ac:dyDescent="0.2">
      <c r="A9" s="10">
        <f>'ACQR;TRGT 5'!$E$16</f>
        <v>42794</v>
      </c>
      <c r="B9" s="11" t="str">
        <f>'ACQR;TRGT 5'!$E$12</f>
        <v>SCG Cement-Building Materials</v>
      </c>
      <c r="C9" s="11" t="str">
        <f>'ACQR;TRGT 5'!$E$7</f>
        <v>Vietnam Construction Materials</v>
      </c>
      <c r="D9" s="15" t="str">
        <f>'ACQR;TRGT 5'!E18</f>
        <v>Acquisition</v>
      </c>
      <c r="E9" s="15" t="str">
        <f>'ACQR;TRGT 5'!$O$7</f>
        <v>Integrated cement and building materials platform in Vietnam.</v>
      </c>
      <c r="F9" s="16">
        <f>'ACQR;TRGT 5'!$E$30</f>
        <v>11440000</v>
      </c>
      <c r="G9" s="16">
        <f>'ACQR;TRGT 5'!$E$37</f>
        <v>11440000</v>
      </c>
      <c r="H9" s="16">
        <f>'ACQR;TRGT 5'!$M$10</f>
        <v>7626666.666666667</v>
      </c>
      <c r="I9" s="2"/>
      <c r="J9" s="2"/>
      <c r="K9" s="2"/>
      <c r="L9" s="2"/>
      <c r="M9" s="2"/>
      <c r="N9" s="2"/>
      <c r="O9" s="2"/>
      <c r="P9" s="2"/>
      <c r="Q9" s="2"/>
      <c r="R9" s="2"/>
      <c r="S9" s="2"/>
      <c r="T9" s="2"/>
      <c r="U9" s="2"/>
      <c r="V9" s="2"/>
      <c r="W9" s="2"/>
      <c r="X9" s="2"/>
      <c r="Y9" s="2"/>
      <c r="Z9" s="2"/>
    </row>
    <row r="10" spans="1:26" ht="49.5" customHeight="1" x14ac:dyDescent="0.2">
      <c r="A10" s="13">
        <f>'ACQR;TRGT 6'!$E$16</f>
        <v>44183</v>
      </c>
      <c r="B10" s="14" t="str">
        <f>'ACQR;TRGT 6'!$E$12</f>
        <v>Thai Containers Group / SCGP</v>
      </c>
      <c r="C10" s="14" t="str">
        <f>'ACQR;TRGT 6'!$E$7</f>
        <v>Bien Hoa Packaging (SVI)</v>
      </c>
      <c r="D10" s="15" t="str">
        <f>'ACQR;TRGT 6'!E18</f>
        <v>Acquisition</v>
      </c>
      <c r="E10" s="15" t="str">
        <f>'ACQR;TRGT 6'!$O$7</f>
        <v>Vietnam industrial packaging company.</v>
      </c>
      <c r="F10" s="16">
        <f>'ACQR;TRGT 6'!$E$30</f>
        <v>2070000</v>
      </c>
      <c r="G10" s="16">
        <f>'ACQR;TRGT 6'!$E$37</f>
        <v>2070000</v>
      </c>
      <c r="H10" s="16">
        <f>'ACQR;TRGT 6'!$M$10</f>
        <v>1881818.1818181821</v>
      </c>
      <c r="I10" s="2"/>
      <c r="J10" s="2"/>
      <c r="K10" s="2"/>
      <c r="L10" s="2"/>
      <c r="M10" s="2"/>
      <c r="N10" s="2"/>
      <c r="O10" s="2"/>
      <c r="P10" s="2"/>
      <c r="Q10" s="2"/>
      <c r="R10" s="2"/>
      <c r="S10" s="2"/>
      <c r="T10" s="2"/>
      <c r="U10" s="2"/>
      <c r="V10" s="2"/>
      <c r="W10" s="2"/>
      <c r="X10" s="2"/>
      <c r="Y10" s="2"/>
      <c r="Z10" s="2"/>
    </row>
    <row r="11" spans="1:26" ht="49.5" customHeight="1" x14ac:dyDescent="0.2">
      <c r="A11" s="13">
        <f>'ACQR;TRGT 7'!$E$16</f>
        <v>43168</v>
      </c>
      <c r="B11" s="14" t="str">
        <f>'ACQR;TRGT 7'!$E$12</f>
        <v>Nawaplastic Industries (SCG)</v>
      </c>
      <c r="C11" s="14" t="str">
        <f>'ACQR;TRGT 7'!$E$7</f>
        <v>Công ty Cổ phần Nhựa Bình Minh</v>
      </c>
      <c r="D11" s="15" t="str">
        <f>'ACQR;TRGT 7'!E18</f>
        <v>Majority stake acquisition</v>
      </c>
      <c r="E11" s="15" t="str">
        <f>'ACQR;TRGT 7'!$O$7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11" s="16">
        <f>'ACQR;TRGT 7'!$E$30</f>
        <v>7899580.517</v>
      </c>
      <c r="G11" s="16">
        <f>'ACQR;TRGT 7'!$E$37</f>
        <v>7657072.5470000003</v>
      </c>
      <c r="H11" s="16">
        <f>'ACQR;TRGT 7'!$M$10</f>
        <v>5509577.9709999999</v>
      </c>
      <c r="I11" s="2"/>
      <c r="J11" s="2"/>
      <c r="K11" s="2"/>
      <c r="L11" s="2"/>
      <c r="M11" s="2"/>
      <c r="N11" s="2"/>
      <c r="O11" s="2"/>
      <c r="P11" s="2"/>
      <c r="Q11" s="2"/>
      <c r="R11" s="2"/>
      <c r="S11" s="2"/>
      <c r="T11" s="2"/>
      <c r="U11" s="2"/>
      <c r="V11" s="2"/>
      <c r="W11" s="2"/>
      <c r="X11" s="2"/>
      <c r="Y11" s="2"/>
      <c r="Z11" s="2"/>
    </row>
    <row r="12" spans="1:26" ht="49.5" customHeight="1" x14ac:dyDescent="0.2">
      <c r="A12" s="13">
        <f>'ACQR;TRGT 8'!$E$16</f>
        <v>43238</v>
      </c>
      <c r="B12" s="14" t="str">
        <f>'ACQR;TRGT 8'!$E$12</f>
        <v>Nawaplastic Industries (SCG)</v>
      </c>
      <c r="C12" s="14" t="str">
        <f>'ACQR;TRGT 8'!$E$7</f>
        <v>Công ty Cổ phần Nhựa Bình Minh</v>
      </c>
      <c r="D12" s="15" t="str">
        <f>'ACQR;TRGT 8'!E18</f>
        <v>Tender offer</v>
      </c>
      <c r="E12" s="15" t="str">
        <f>'ACQR;TRGT 8'!$O$7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12" s="16">
        <f>'ACQR;TRGT 8'!$E$30</f>
        <v>4936214.5614</v>
      </c>
      <c r="G12" s="16">
        <f>'ACQR;TRGT 8'!$E$37</f>
        <v>4693706.5914000003</v>
      </c>
      <c r="H12" s="16">
        <f>'ACQR;TRGT 8'!$M$10</f>
        <v>5509577.9709999999</v>
      </c>
      <c r="I12" s="2"/>
      <c r="J12" s="2"/>
      <c r="K12" s="2"/>
      <c r="L12" s="2"/>
      <c r="M12" s="2"/>
      <c r="N12" s="2"/>
      <c r="O12" s="2"/>
      <c r="P12" s="2"/>
      <c r="Q12" s="2"/>
      <c r="R12" s="2"/>
      <c r="S12" s="2"/>
      <c r="T12" s="2"/>
      <c r="U12" s="2"/>
      <c r="V12" s="2"/>
      <c r="W12" s="2"/>
      <c r="X12" s="2"/>
      <c r="Y12" s="2"/>
      <c r="Z12" s="2"/>
    </row>
    <row r="13" spans="1:26" ht="49.5" customHeight="1" x14ac:dyDescent="0.2">
      <c r="A13" s="13">
        <f>'ACQR;TRGT 9'!$E$16</f>
        <v>43271</v>
      </c>
      <c r="B13" s="14" t="str">
        <f>'ACQR;TRGT 9'!$E$12</f>
        <v>Nawaplastic Industries (SCG)</v>
      </c>
      <c r="C13" s="14" t="str">
        <f>'ACQR;TRGT 9'!$E$7</f>
        <v>Công ty Cổ phần Nhựa Bình Minh</v>
      </c>
      <c r="D13" s="15" t="str">
        <f>'ACQR;TRGT 9'!E18</f>
        <v>Follow-on purchase</v>
      </c>
      <c r="E13" s="15" t="str">
        <f>'ACQR;TRGT 9'!$O$7</f>
        <v>Công ty Cổ phần Nhựa Bình Minh (BMP) có tiền thân là Nhà máy Công tư Hợp doanh Nhựa Bình Minh thành lập năm 1977. Công ty chuyên sản xuất các sản phẩm ống PVC cứng, PEHD (ống gân và ống trơn), phụ tùng ống, bình phun thuốc trừ sâu, nón bảo hộ lao động và các sản phẩm nhựa kỹ thuật khác. BMP chính thức hoạt động theo mô hình công ty cổ phần từ năm 2004. Công ty hiện sở hữu và vận hành 04 nhà máy sản xuất tại thành phố Hồ Chí Minh, Bình Dương, Long An và Hưng Yên với tổng công suất 150.000 tấn sản phẩm/năm. Công ty chiếm lĩnh khoảng 28% thị trường ống nhựa trong cả nước. BMP chính thức được niêm yết và giao dịch trên Sở Chứng khoán Thành phố Hồ Chí Minh (HOSE) từ năm 2006.</v>
      </c>
      <c r="F13" s="16">
        <f>'ACQR;TRGT 9'!$E$30</f>
        <v>5239100.0320000006</v>
      </c>
      <c r="G13" s="16">
        <f>'ACQR;TRGT 9'!$E$37</f>
        <v>4996592.0620000008</v>
      </c>
      <c r="H13" s="16">
        <f>'ACQR;TRGT 9'!$M$10</f>
        <v>5509577.9709999999</v>
      </c>
      <c r="I13" s="2"/>
      <c r="J13" s="2"/>
      <c r="K13" s="2"/>
      <c r="L13" s="2"/>
      <c r="M13" s="2"/>
      <c r="N13" s="2"/>
      <c r="O13" s="2"/>
      <c r="P13" s="2"/>
      <c r="Q13" s="2"/>
      <c r="R13" s="2"/>
      <c r="S13" s="2"/>
      <c r="T13" s="2"/>
      <c r="U13" s="2"/>
      <c r="V13" s="2"/>
      <c r="W13" s="2"/>
      <c r="X13" s="2"/>
      <c r="Y13" s="2"/>
      <c r="Z13" s="2"/>
    </row>
    <row r="14" spans="1:26" ht="49.5" customHeight="1" x14ac:dyDescent="0.2">
      <c r="A14" s="17">
        <f>'ACQR;TRGT 10'!$E$16</f>
        <v>41261</v>
      </c>
      <c r="B14" s="18" t="str">
        <f>'ACQR;TRGT 10'!$E$12</f>
        <v>SCG</v>
      </c>
      <c r="C14" s="18" t="str">
        <f>'ACQR;TRGT 10'!$E$7</f>
        <v>Prime Group</v>
      </c>
      <c r="D14" s="11" t="str">
        <f>'ACQR;TRGT 10'!E18</f>
        <v>Majority acquisition</v>
      </c>
      <c r="E14" s="11" t="str">
        <f>'ACQR;TRGT 10'!$O$7</f>
        <v>Vietnam building materials and ceramic tile manufacturer.</v>
      </c>
      <c r="F14" s="19">
        <f>'ACQR;TRGT 10'!$E$30</f>
        <v>7341176.4705882352</v>
      </c>
      <c r="G14" s="19">
        <f>'ACQR;TRGT 10'!$E$37</f>
        <v>7341176.4705882352</v>
      </c>
      <c r="H14" s="19">
        <f>'ACQR;TRGT 10'!$M$10</f>
        <v>7341176.4705882352</v>
      </c>
      <c r="I14" s="2"/>
      <c r="J14" s="2"/>
      <c r="K14" s="2"/>
      <c r="L14" s="2"/>
      <c r="M14" s="2"/>
      <c r="N14" s="2"/>
      <c r="O14" s="2"/>
      <c r="P14" s="2"/>
      <c r="Q14" s="2"/>
      <c r="R14" s="2"/>
      <c r="S14" s="2"/>
      <c r="T14" s="2"/>
      <c r="U14" s="2"/>
      <c r="V14" s="2"/>
      <c r="W14" s="2"/>
      <c r="X14" s="2"/>
      <c r="Y14" s="2"/>
      <c r="Z14" s="2"/>
    </row>
    <row r="15" spans="1:26" ht="12.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2:H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0"/>
  <sheetViews>
    <sheetView showGridLines="0" workbookViewId="0"/>
  </sheetViews>
  <sheetFormatPr defaultColWidth="12.5703125" defaultRowHeight="15" customHeight="1" x14ac:dyDescent="0.2"/>
  <cols>
    <col min="1" max="1" width="0.85546875" style="147" customWidth="1"/>
    <col min="2" max="2" width="14.7109375" style="147" customWidth="1"/>
    <col min="3" max="4" width="20.7109375" style="147" customWidth="1"/>
    <col min="5" max="5" width="13.7109375" style="147" customWidth="1"/>
    <col min="6" max="6" width="15.7109375" style="147" customWidth="1"/>
    <col min="7" max="11" width="12.7109375" style="147" customWidth="1"/>
    <col min="12" max="12" width="0.85546875" style="147" customWidth="1"/>
    <col min="13" max="13" width="12.7109375" style="147" customWidth="1"/>
    <col min="14" max="14" width="0.85546875" style="147" customWidth="1"/>
    <col min="15" max="15" width="12.7109375" style="147" customWidth="1"/>
    <col min="16" max="16" width="0.85546875" style="147" customWidth="1"/>
    <col min="17" max="19" width="7.7109375" style="147" customWidth="1"/>
    <col min="20" max="20" width="0.85546875" style="147" customWidth="1"/>
    <col min="21" max="33" width="8" style="147" customWidth="1"/>
  </cols>
  <sheetData>
    <row r="1" spans="1:33" ht="26.25" customHeight="1" x14ac:dyDescent="0.4">
      <c r="A1" s="20" t="s">
        <v>29</v>
      </c>
      <c r="B1" s="20"/>
      <c r="C1" s="21"/>
      <c r="D1" s="21"/>
      <c r="E1" s="21"/>
      <c r="F1" s="21"/>
      <c r="G1" s="21"/>
      <c r="H1" s="21"/>
      <c r="I1" s="21"/>
      <c r="J1" s="21"/>
      <c r="K1" s="21"/>
      <c r="L1" s="21"/>
      <c r="M1" s="21"/>
      <c r="N1" s="21"/>
      <c r="O1" s="21"/>
      <c r="P1" s="21"/>
      <c r="Q1" s="21"/>
      <c r="R1" s="21"/>
      <c r="S1" s="21"/>
      <c r="T1" s="21"/>
      <c r="U1" s="2"/>
      <c r="V1" s="2"/>
      <c r="W1" s="2"/>
      <c r="X1" s="2"/>
      <c r="Y1" s="2"/>
      <c r="Z1" s="2"/>
      <c r="AA1" s="2"/>
      <c r="AB1" s="2"/>
      <c r="AC1" s="2"/>
      <c r="AD1" s="2"/>
      <c r="AE1" s="2"/>
      <c r="AF1" s="2"/>
      <c r="AG1" s="2"/>
    </row>
    <row r="2" spans="1:33" ht="20.25" customHeight="1" x14ac:dyDescent="0.3">
      <c r="A2" s="22" t="s">
        <v>30</v>
      </c>
      <c r="B2" s="23"/>
      <c r="C2" s="21"/>
      <c r="D2" s="21"/>
      <c r="E2" s="21"/>
      <c r="F2" s="21"/>
      <c r="G2" s="21"/>
      <c r="H2" s="21"/>
      <c r="I2" s="21"/>
      <c r="J2" s="21"/>
      <c r="K2" s="21"/>
      <c r="L2" s="21"/>
      <c r="M2" s="21"/>
      <c r="N2" s="21"/>
      <c r="O2" s="21"/>
      <c r="P2" s="21"/>
      <c r="Q2" s="21"/>
      <c r="R2" s="21"/>
      <c r="S2" s="21"/>
      <c r="T2" s="21"/>
      <c r="U2" s="2"/>
      <c r="V2" s="2"/>
      <c r="W2" s="2"/>
      <c r="X2" s="2"/>
      <c r="Y2" s="2"/>
      <c r="Z2" s="2"/>
      <c r="AA2" s="2"/>
      <c r="AB2" s="2"/>
      <c r="AC2" s="2"/>
      <c r="AD2" s="2"/>
      <c r="AE2" s="2"/>
      <c r="AF2" s="2"/>
      <c r="AG2" s="2"/>
    </row>
    <row r="3" spans="1:33" ht="12.75" customHeight="1" x14ac:dyDescent="0.2">
      <c r="A3" s="24" t="s">
        <v>15</v>
      </c>
      <c r="B3" s="21"/>
      <c r="C3" s="21"/>
      <c r="D3" s="21"/>
      <c r="E3" s="21"/>
      <c r="F3" s="21"/>
      <c r="G3" s="21"/>
      <c r="H3" s="21"/>
      <c r="I3" s="21"/>
      <c r="J3" s="21"/>
      <c r="K3" s="21"/>
      <c r="L3" s="21"/>
      <c r="M3" s="21"/>
      <c r="N3" s="21"/>
      <c r="O3" s="21"/>
      <c r="P3" s="21"/>
      <c r="Q3" s="21"/>
      <c r="R3" s="21"/>
      <c r="S3" s="21"/>
      <c r="T3" s="21"/>
      <c r="U3" s="2"/>
      <c r="V3" s="2"/>
      <c r="W3" s="2"/>
      <c r="X3" s="2"/>
      <c r="Y3" s="2"/>
      <c r="Z3" s="2"/>
      <c r="AA3" s="2"/>
      <c r="AB3" s="2"/>
      <c r="AC3" s="2"/>
      <c r="AD3" s="2"/>
      <c r="AE3" s="2"/>
      <c r="AF3" s="2"/>
      <c r="AG3" s="2"/>
    </row>
    <row r="4" spans="1:33" ht="12.75" customHeight="1" x14ac:dyDescent="0.2">
      <c r="A4" s="25"/>
      <c r="B4" s="2"/>
      <c r="C4" s="2"/>
      <c r="D4" s="2"/>
      <c r="E4" s="2"/>
      <c r="F4" s="2"/>
      <c r="G4" s="2"/>
      <c r="H4" s="2"/>
      <c r="I4" s="25"/>
      <c r="J4" s="2"/>
      <c r="K4" s="25"/>
      <c r="L4" s="25"/>
      <c r="M4" s="25"/>
      <c r="N4" s="25"/>
      <c r="O4" s="25"/>
      <c r="P4" s="25"/>
      <c r="Q4" s="25"/>
      <c r="R4" s="25"/>
      <c r="S4" s="25"/>
      <c r="T4" s="25"/>
      <c r="U4" s="2"/>
      <c r="V4" s="2"/>
      <c r="W4" s="2"/>
      <c r="X4" s="2"/>
      <c r="Y4" s="2"/>
      <c r="Z4" s="2"/>
      <c r="AA4" s="2"/>
      <c r="AB4" s="2"/>
      <c r="AC4" s="2"/>
      <c r="AD4" s="2"/>
      <c r="AE4" s="2"/>
      <c r="AF4" s="2"/>
      <c r="AG4" s="2"/>
    </row>
    <row r="5" spans="1:33" ht="12.75"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3" ht="15" customHeight="1" x14ac:dyDescent="0.2">
      <c r="A6" s="26"/>
      <c r="B6" s="26"/>
      <c r="C6" s="26"/>
      <c r="D6" s="26"/>
      <c r="E6" s="26"/>
      <c r="F6" s="26"/>
      <c r="G6" s="148"/>
      <c r="H6" s="26"/>
      <c r="I6" s="217" t="s">
        <v>31</v>
      </c>
      <c r="J6" s="216"/>
      <c r="K6" s="216"/>
      <c r="L6" s="26"/>
      <c r="M6" s="148" t="s">
        <v>32</v>
      </c>
      <c r="N6" s="26"/>
      <c r="O6" s="27" t="s">
        <v>33</v>
      </c>
      <c r="P6" s="26"/>
      <c r="Q6" s="219" t="s">
        <v>34</v>
      </c>
      <c r="R6" s="216"/>
      <c r="S6" s="216"/>
      <c r="T6" s="26"/>
      <c r="U6" s="26"/>
      <c r="V6" s="26"/>
      <c r="W6" s="26"/>
      <c r="X6" s="26"/>
      <c r="Y6" s="26"/>
      <c r="Z6" s="26"/>
      <c r="AA6" s="26"/>
      <c r="AB6" s="26"/>
      <c r="AC6" s="26"/>
      <c r="AD6" s="26"/>
      <c r="AE6" s="26"/>
      <c r="AF6" s="26"/>
      <c r="AG6" s="26"/>
    </row>
    <row r="7" spans="1:33" ht="12.75" customHeight="1" x14ac:dyDescent="0.2">
      <c r="A7" s="26"/>
      <c r="B7" s="28" t="s">
        <v>17</v>
      </c>
      <c r="C7" s="26"/>
      <c r="D7" s="26"/>
      <c r="E7" s="148" t="s">
        <v>18</v>
      </c>
      <c r="F7" s="148" t="s">
        <v>35</v>
      </c>
      <c r="G7" s="148" t="s">
        <v>19</v>
      </c>
      <c r="H7" s="148" t="s">
        <v>20</v>
      </c>
      <c r="I7" s="148" t="s">
        <v>32</v>
      </c>
      <c r="J7" s="29" t="s">
        <v>32</v>
      </c>
      <c r="K7" s="30" t="s">
        <v>32</v>
      </c>
      <c r="L7" s="30"/>
      <c r="M7" s="148" t="s">
        <v>36</v>
      </c>
      <c r="N7" s="30"/>
      <c r="O7" s="30" t="s">
        <v>32</v>
      </c>
      <c r="P7" s="28"/>
      <c r="Q7" s="218" t="s">
        <v>37</v>
      </c>
      <c r="R7" s="216"/>
      <c r="S7" s="216"/>
      <c r="T7" s="28"/>
      <c r="U7" s="26"/>
      <c r="V7" s="26"/>
      <c r="W7" s="26"/>
      <c r="X7" s="26"/>
      <c r="Y7" s="26"/>
      <c r="Z7" s="26"/>
      <c r="AA7" s="26"/>
      <c r="AB7" s="26"/>
      <c r="AC7" s="26"/>
      <c r="AD7" s="26"/>
      <c r="AE7" s="26"/>
      <c r="AF7" s="26"/>
      <c r="AG7" s="26"/>
    </row>
    <row r="8" spans="1:33" ht="15" customHeight="1" x14ac:dyDescent="0.2">
      <c r="A8" s="26"/>
      <c r="B8" s="31" t="s">
        <v>22</v>
      </c>
      <c r="C8" s="32" t="s">
        <v>23</v>
      </c>
      <c r="D8" s="32" t="s">
        <v>24</v>
      </c>
      <c r="E8" s="32" t="s">
        <v>25</v>
      </c>
      <c r="F8" s="32" t="s">
        <v>38</v>
      </c>
      <c r="G8" s="32" t="s">
        <v>27</v>
      </c>
      <c r="H8" s="32" t="s">
        <v>27</v>
      </c>
      <c r="I8" s="33" t="s">
        <v>39</v>
      </c>
      <c r="J8" s="34" t="s">
        <v>36</v>
      </c>
      <c r="K8" s="32" t="s">
        <v>40</v>
      </c>
      <c r="L8" s="32"/>
      <c r="M8" s="33" t="s">
        <v>41</v>
      </c>
      <c r="N8" s="32"/>
      <c r="O8" s="32" t="s">
        <v>42</v>
      </c>
      <c r="P8" s="28"/>
      <c r="Q8" s="32" t="s">
        <v>43</v>
      </c>
      <c r="R8" s="32" t="s">
        <v>44</v>
      </c>
      <c r="S8" s="32" t="s">
        <v>45</v>
      </c>
      <c r="T8" s="28"/>
      <c r="U8" s="26"/>
      <c r="V8" s="2"/>
      <c r="W8" s="26"/>
      <c r="X8" s="26"/>
      <c r="Y8" s="26"/>
      <c r="Z8" s="26"/>
      <c r="AA8" s="26"/>
      <c r="AB8" s="26"/>
      <c r="AC8" s="26"/>
      <c r="AD8" s="26"/>
      <c r="AE8" s="26"/>
      <c r="AF8" s="26"/>
      <c r="AG8" s="26"/>
    </row>
    <row r="9" spans="1:33" ht="3.75" customHeight="1" x14ac:dyDescent="0.2">
      <c r="A9" s="26"/>
      <c r="B9" s="31"/>
      <c r="C9" s="32"/>
      <c r="D9" s="32"/>
      <c r="E9" s="32"/>
      <c r="F9" s="32"/>
      <c r="G9" s="32"/>
      <c r="H9" s="32"/>
      <c r="I9" s="33"/>
      <c r="J9" s="34"/>
      <c r="K9" s="32"/>
      <c r="L9" s="32"/>
      <c r="M9" s="26"/>
      <c r="N9" s="32"/>
      <c r="O9" s="32"/>
      <c r="P9" s="28"/>
      <c r="Q9" s="32"/>
      <c r="R9" s="32"/>
      <c r="S9" s="32"/>
      <c r="T9" s="28"/>
      <c r="U9" s="26"/>
      <c r="V9" s="2"/>
      <c r="W9" s="26"/>
      <c r="X9" s="26"/>
      <c r="Y9" s="26"/>
      <c r="Z9" s="26"/>
      <c r="AA9" s="26"/>
      <c r="AB9" s="26"/>
      <c r="AC9" s="26"/>
      <c r="AD9" s="26"/>
      <c r="AE9" s="26"/>
      <c r="AF9" s="26"/>
      <c r="AG9" s="26"/>
    </row>
    <row r="10" spans="1:33" ht="30" customHeight="1" x14ac:dyDescent="0.2">
      <c r="A10" s="2"/>
      <c r="B10" s="35">
        <f>'ACQR;TRGT 1'!$E$16</f>
        <v>43168</v>
      </c>
      <c r="C10" s="36" t="str">
        <f>'ACQR;TRGT 1'!$E$12</f>
        <v>Nawaplastic Industries (SCG)</v>
      </c>
      <c r="D10" s="36" t="str">
        <f>'ACQR;TRGT 1'!$E$7</f>
        <v>Công ty Cổ phần Nhựa Bình Minh</v>
      </c>
      <c r="E10" s="36" t="str">
        <f>'ACQR;TRGT 1'!$E$18</f>
        <v>Majority stake acquisition</v>
      </c>
      <c r="F10" s="37" t="str">
        <f>'ACQR;TRGT 1'!$E$19</f>
        <v>Cash</v>
      </c>
      <c r="G10" s="38">
        <f>'ACQR;TRGT 1'!$E$30</f>
        <v>7899580.517</v>
      </c>
      <c r="H10" s="38">
        <f>'ACQR;TRGT 1'!$E$37</f>
        <v>7657072.5470000003</v>
      </c>
      <c r="I10" s="39">
        <f>'ACQR;TRGT 1'!$E$40</f>
        <v>1.3897747862546768</v>
      </c>
      <c r="J10" s="40">
        <f>'ACQR;TRGT 1'!$E$42</f>
        <v>4.6933936898738011</v>
      </c>
      <c r="K10" s="39">
        <f>'ACQR;TRGT 1'!$E$44</f>
        <v>4.9755742504418299</v>
      </c>
      <c r="L10" s="39"/>
      <c r="M10" s="41">
        <f>'ACQR;TRGT 1'!$M$41</f>
        <v>0.29611297881385396</v>
      </c>
      <c r="N10" s="39"/>
      <c r="O10" s="39">
        <f>'ACQR;TRGT 1'!$E$46</f>
        <v>6.429034254560241</v>
      </c>
      <c r="P10" s="42"/>
      <c r="Q10" s="41">
        <f>'ACQR;TRGT 1'!$E$53</f>
        <v>0.115</v>
      </c>
      <c r="R10" s="41">
        <f>'ACQR;TRGT 1'!$E$54</f>
        <v>8.8000000000000009E-2</v>
      </c>
      <c r="S10" s="41">
        <f>'ACQR;TRGT 1'!$E$55</f>
        <v>7.1000000000000008E-2</v>
      </c>
      <c r="T10" s="42"/>
      <c r="U10" s="26"/>
      <c r="V10" s="2"/>
      <c r="W10" s="26"/>
      <c r="X10" s="26"/>
      <c r="Y10" s="26"/>
      <c r="Z10" s="26"/>
      <c r="AA10" s="26"/>
      <c r="AB10" s="2"/>
      <c r="AC10" s="2"/>
      <c r="AD10" s="2"/>
      <c r="AE10" s="2"/>
      <c r="AF10" s="2"/>
      <c r="AG10" s="2"/>
    </row>
    <row r="11" spans="1:33" ht="30" customHeight="1" x14ac:dyDescent="0.2">
      <c r="A11" s="2"/>
      <c r="B11" s="43">
        <f>'ACQR;TRGT 2'!$E$16</f>
        <v>43238</v>
      </c>
      <c r="C11" s="44" t="str">
        <f>'ACQR;TRGT 2'!$E$12</f>
        <v>Nawaplastic Industries (SCG)</v>
      </c>
      <c r="D11" s="44" t="str">
        <f>'ACQR;TRGT 2'!$E$7</f>
        <v>Công ty Cổ phần Nhựa Bình Minh</v>
      </c>
      <c r="E11" s="44" t="str">
        <f>'ACQR;TRGT 2'!$E$18</f>
        <v>Tender offer</v>
      </c>
      <c r="F11" s="45" t="str">
        <f>'ACQR;TRGT 2'!$E$19</f>
        <v>Cash</v>
      </c>
      <c r="G11" s="46">
        <f>'ACQR;TRGT 2'!$E$30</f>
        <v>4936214.5614</v>
      </c>
      <c r="H11" s="46">
        <f>'ACQR;TRGT 2'!$E$37</f>
        <v>4693706.5914000003</v>
      </c>
      <c r="I11" s="47">
        <f>'ACQR;TRGT 2'!$E$40</f>
        <v>0.85191762710421948</v>
      </c>
      <c r="J11" s="48">
        <f>'ACQR;TRGT 2'!$E$42</f>
        <v>2.8770019825431632</v>
      </c>
      <c r="K11" s="47">
        <f>'ACQR;TRGT 2'!$E$44</f>
        <v>3.0499757592670136</v>
      </c>
      <c r="L11" s="47"/>
      <c r="M11" s="49">
        <f>'ACQR;TRGT 2'!$M$41</f>
        <v>0.29611297881385396</v>
      </c>
      <c r="N11" s="47"/>
      <c r="O11" s="47">
        <f>'ACQR;TRGT 2'!$E$46</f>
        <v>4.0173136326423062</v>
      </c>
      <c r="P11" s="50"/>
      <c r="Q11" s="49">
        <f>'ACQR;TRGT 2'!$E$53</f>
        <v>0.12000000000000001</v>
      </c>
      <c r="R11" s="49">
        <f>'ACQR;TRGT 2'!$E$54</f>
        <v>9.1999999999999998E-2</v>
      </c>
      <c r="S11" s="49">
        <f>'ACQR;TRGT 2'!$E$55</f>
        <v>7.3999999999999996E-2</v>
      </c>
      <c r="T11" s="42"/>
      <c r="U11" s="26"/>
      <c r="V11" s="2"/>
      <c r="W11" s="26"/>
      <c r="X11" s="26"/>
      <c r="Y11" s="26"/>
      <c r="Z11" s="26"/>
      <c r="AA11" s="26"/>
      <c r="AB11" s="39"/>
      <c r="AC11" s="39"/>
      <c r="AD11" s="42"/>
      <c r="AE11" s="51"/>
      <c r="AF11" s="51"/>
      <c r="AG11" s="51"/>
    </row>
    <row r="12" spans="1:33" ht="30" customHeight="1" x14ac:dyDescent="0.2">
      <c r="A12" s="2"/>
      <c r="B12" s="35">
        <f>'ACQR;TRGT 3'!$E$16</f>
        <v>43271</v>
      </c>
      <c r="C12" s="36" t="str">
        <f>'ACQR;TRGT 3'!$E$12</f>
        <v>Nawaplastic Industries (SCG)</v>
      </c>
      <c r="D12" s="36" t="str">
        <f>'ACQR;TRGT 3'!$E$7</f>
        <v>Công ty Cổ phần Nhựa Bình Minh</v>
      </c>
      <c r="E12" s="36" t="str">
        <f>'ACQR;TRGT 3'!$E$18</f>
        <v>Follow-on purchase</v>
      </c>
      <c r="F12" s="37" t="str">
        <f>'ACQR;TRGT 3'!$E$19</f>
        <v>Cash</v>
      </c>
      <c r="G12" s="52">
        <f>'ACQR;TRGT 3'!$E$30</f>
        <v>5239100.0320000006</v>
      </c>
      <c r="H12" s="52">
        <f>'ACQR;TRGT 3'!$E$37</f>
        <v>4996592.0620000008</v>
      </c>
      <c r="I12" s="39">
        <f>'ACQR;TRGT 3'!$E$40</f>
        <v>0.90689197762512275</v>
      </c>
      <c r="J12" s="40">
        <f>'ACQR;TRGT 3'!$E$42</f>
        <v>3.0626552785962948</v>
      </c>
      <c r="K12" s="39">
        <f>'ACQR;TRGT 3'!$E$44</f>
        <v>3.2467910746633351</v>
      </c>
      <c r="L12" s="39"/>
      <c r="M12" s="41">
        <f>'ACQR;TRGT 3'!$M$41</f>
        <v>0.29611297881385396</v>
      </c>
      <c r="N12" s="39"/>
      <c r="O12" s="39">
        <f>'ACQR;TRGT 3'!$E$46</f>
        <v>4.2638154641643045</v>
      </c>
      <c r="P12" s="42"/>
      <c r="Q12" s="41">
        <f>'ACQR;TRGT 3'!$E$53</f>
        <v>0.125</v>
      </c>
      <c r="R12" s="41">
        <f>'ACQR;TRGT 3'!$E$54</f>
        <v>9.6000000000000002E-2</v>
      </c>
      <c r="S12" s="41">
        <f>'ACQR;TRGT 3'!$E$55</f>
        <v>7.6999999999999999E-2</v>
      </c>
      <c r="T12" s="42"/>
      <c r="U12" s="26"/>
      <c r="V12" s="2"/>
      <c r="W12" s="26"/>
      <c r="X12" s="26"/>
      <c r="Y12" s="26"/>
      <c r="Z12" s="26"/>
      <c r="AA12" s="26"/>
      <c r="AB12" s="2"/>
      <c r="AC12" s="2"/>
      <c r="AD12" s="2"/>
      <c r="AE12" s="2"/>
      <c r="AF12" s="2"/>
      <c r="AG12" s="2"/>
    </row>
    <row r="13" spans="1:33" ht="30" customHeight="1" x14ac:dyDescent="0.2">
      <c r="A13" s="2"/>
      <c r="B13" s="43">
        <f>'ACQR;TRGT 4'!$E$16</f>
        <v>41261</v>
      </c>
      <c r="C13" s="44" t="str">
        <f>'ACQR;TRGT 4'!$E$12</f>
        <v>SCG</v>
      </c>
      <c r="D13" s="44" t="str">
        <f>'ACQR;TRGT 4'!$E$7</f>
        <v>Prime Group</v>
      </c>
      <c r="E13" s="44" t="str">
        <f>'ACQR;TRGT 4'!$E$18</f>
        <v>Majority acquisition</v>
      </c>
      <c r="F13" s="45" t="str">
        <f>'ACQR;TRGT 4'!$E$19</f>
        <v>Cash</v>
      </c>
      <c r="G13" s="46">
        <f>'ACQR;TRGT 4'!$E$30</f>
        <v>7341176.4705882352</v>
      </c>
      <c r="H13" s="46">
        <f>'ACQR;TRGT 4'!$E$37</f>
        <v>7341176.4705882352</v>
      </c>
      <c r="I13" s="47">
        <f>'ACQR;TRGT 4'!$E$40</f>
        <v>1</v>
      </c>
      <c r="J13" s="48">
        <f>'ACQR;TRGT 4'!$E$42</f>
        <v>9.0000000000000036</v>
      </c>
      <c r="K13" s="47">
        <f>'ACQR;TRGT 4'!$E$44</f>
        <v>12.000000000000007</v>
      </c>
      <c r="L13" s="47"/>
      <c r="M13" s="49">
        <f>'ACQR;TRGT 4'!$M$41</f>
        <v>0.11111111111111106</v>
      </c>
      <c r="N13" s="47"/>
      <c r="O13" s="47">
        <f>'ACQR;TRGT 4'!$E$46</f>
        <v>15.000000000000012</v>
      </c>
      <c r="P13" s="50"/>
      <c r="Q13" s="53">
        <f>'ACQR;TRGT 4'!$E$53</f>
        <v>0.13</v>
      </c>
      <c r="R13" s="53">
        <f>'ACQR;TRGT 4'!$E$54</f>
        <v>0.1</v>
      </c>
      <c r="S13" s="53">
        <f>'ACQR;TRGT 4'!$E$55</f>
        <v>0.08</v>
      </c>
      <c r="T13" s="42"/>
      <c r="U13" s="26"/>
      <c r="V13" s="2"/>
      <c r="W13" s="26"/>
      <c r="X13" s="26"/>
      <c r="Y13" s="26"/>
      <c r="Z13" s="26"/>
      <c r="AA13" s="26"/>
      <c r="AB13" s="2"/>
      <c r="AC13" s="2"/>
      <c r="AD13" s="2"/>
      <c r="AE13" s="2"/>
      <c r="AF13" s="2"/>
      <c r="AG13" s="2"/>
    </row>
    <row r="14" spans="1:33" ht="30" customHeight="1" x14ac:dyDescent="0.2">
      <c r="A14" s="2"/>
      <c r="B14" s="35">
        <f>'ACQR;TRGT 5'!$E$16</f>
        <v>42794</v>
      </c>
      <c r="C14" s="36" t="str">
        <f>'ACQR;TRGT 5'!$E$12</f>
        <v>SCG Cement-Building Materials</v>
      </c>
      <c r="D14" s="36" t="str">
        <f>'ACQR;TRGT 5'!$E$7</f>
        <v>Vietnam Construction Materials</v>
      </c>
      <c r="E14" s="36" t="str">
        <f>'ACQR;TRGT 5'!$E$18</f>
        <v>Acquisition</v>
      </c>
      <c r="F14" s="37" t="str">
        <f>'ACQR;TRGT 5'!$E$19</f>
        <v>Cash</v>
      </c>
      <c r="G14" s="52">
        <f>'ACQR;TRGT 5'!$E$30</f>
        <v>11440000</v>
      </c>
      <c r="H14" s="52">
        <f>'ACQR;TRGT 5'!$E$37</f>
        <v>11440000</v>
      </c>
      <c r="I14" s="39">
        <f>'ACQR;TRGT 5'!$E$40</f>
        <v>1.5</v>
      </c>
      <c r="J14" s="40">
        <f>'ACQR;TRGT 5'!$E$42</f>
        <v>9.0000000000000036</v>
      </c>
      <c r="K14" s="39">
        <f>'ACQR;TRGT 5'!$E$44</f>
        <v>12.000000000000004</v>
      </c>
      <c r="L14" s="39"/>
      <c r="M14" s="41">
        <f>'ACQR;TRGT 5'!$M$41</f>
        <v>0.16666666666666657</v>
      </c>
      <c r="N14" s="39"/>
      <c r="O14" s="39">
        <f>'ACQR;TRGT 5'!$E$46</f>
        <v>15.000000000000007</v>
      </c>
      <c r="P14" s="42"/>
      <c r="Q14" s="41">
        <f>'ACQR;TRGT 5'!$E$53</f>
        <v>0.13</v>
      </c>
      <c r="R14" s="41">
        <f>'ACQR;TRGT 5'!$E$54</f>
        <v>0.1</v>
      </c>
      <c r="S14" s="41">
        <f>'ACQR;TRGT 5'!$E$55</f>
        <v>0.08</v>
      </c>
      <c r="T14" s="42"/>
      <c r="U14" s="26"/>
      <c r="V14" s="2"/>
      <c r="W14" s="26"/>
      <c r="X14" s="26"/>
      <c r="Y14" s="26"/>
      <c r="Z14" s="26"/>
      <c r="AA14" s="26"/>
      <c r="AB14" s="2"/>
      <c r="AC14" s="2"/>
      <c r="AD14" s="2"/>
      <c r="AE14" s="2"/>
      <c r="AF14" s="2"/>
      <c r="AG14" s="2"/>
    </row>
    <row r="15" spans="1:33" ht="30" customHeight="1" x14ac:dyDescent="0.2">
      <c r="A15" s="2"/>
      <c r="B15" s="43">
        <f>'ACQR;TRGT 6'!$E$16</f>
        <v>44183</v>
      </c>
      <c r="C15" s="44" t="str">
        <f>'ACQR;TRGT 6'!$E$12</f>
        <v>Thai Containers Group / SCGP</v>
      </c>
      <c r="D15" s="44" t="str">
        <f>'ACQR;TRGT 6'!$E$7</f>
        <v>Bien Hoa Packaging (SVI)</v>
      </c>
      <c r="E15" s="44" t="str">
        <f>'ACQR;TRGT 6'!$E$18</f>
        <v>Acquisition</v>
      </c>
      <c r="F15" s="45" t="str">
        <f>'ACQR;TRGT 6'!$E$19</f>
        <v>Cash</v>
      </c>
      <c r="G15" s="46">
        <f>'ACQR;TRGT 6'!$E$30</f>
        <v>2070000</v>
      </c>
      <c r="H15" s="46">
        <f>'ACQR;TRGT 6'!$E$37</f>
        <v>2070000</v>
      </c>
      <c r="I15" s="47">
        <f>'ACQR;TRGT 6'!$E$40</f>
        <v>1.0999999999999999</v>
      </c>
      <c r="J15" s="48">
        <f>'ACQR;TRGT 6'!$E$42</f>
        <v>7.9999999999999769</v>
      </c>
      <c r="K15" s="47">
        <f>'ACQR;TRGT 6'!$E$44</f>
        <v>9.9999999999999627</v>
      </c>
      <c r="L15" s="47"/>
      <c r="M15" s="49">
        <f>'ACQR;TRGT 6'!$M$41</f>
        <v>0.13750000000000037</v>
      </c>
      <c r="N15" s="47"/>
      <c r="O15" s="47">
        <f>'ACQR;TRGT 6'!$E$46</f>
        <v>12.499999999999943</v>
      </c>
      <c r="P15" s="50"/>
      <c r="Q15" s="53">
        <f>'ACQR;TRGT 6'!$E$53</f>
        <v>0.13500000000000001</v>
      </c>
      <c r="R15" s="53">
        <f>'ACQR;TRGT 6'!$E$54</f>
        <v>0.10400000000000001</v>
      </c>
      <c r="S15" s="53">
        <f>'ACQR;TRGT 6'!$E$55</f>
        <v>8.3000000000000004E-2</v>
      </c>
      <c r="T15" s="42"/>
      <c r="U15" s="26"/>
      <c r="V15" s="2"/>
      <c r="W15" s="26"/>
      <c r="X15" s="26"/>
      <c r="Y15" s="26"/>
      <c r="Z15" s="26"/>
      <c r="AA15" s="26"/>
      <c r="AB15" s="2"/>
      <c r="AC15" s="2"/>
      <c r="AD15" s="2"/>
      <c r="AE15" s="2"/>
      <c r="AF15" s="2"/>
      <c r="AG15" s="2"/>
    </row>
    <row r="16" spans="1:33" ht="30" customHeight="1" x14ac:dyDescent="0.2">
      <c r="A16" s="2"/>
      <c r="B16" s="35">
        <f>'ACQR;TRGT 7'!E16</f>
        <v>43168</v>
      </c>
      <c r="C16" s="36" t="str">
        <f>'ACQR;TRGT 7'!E12</f>
        <v>Nawaplastic Industries (SCG)</v>
      </c>
      <c r="D16" s="36" t="str">
        <f>'ACQR;TRGT 7'!E7</f>
        <v>Công ty Cổ phần Nhựa Bình Minh</v>
      </c>
      <c r="E16" s="36" t="str">
        <f>'ACQR;TRGT 7'!$E$18</f>
        <v>Majority stake acquisition</v>
      </c>
      <c r="F16" s="37" t="str">
        <f>'ACQR;TRGT 7'!$E$19</f>
        <v>Cash</v>
      </c>
      <c r="G16" s="52">
        <f>'ACQR;TRGT 7'!$E$30</f>
        <v>7899580.517</v>
      </c>
      <c r="H16" s="52">
        <f>'ACQR;TRGT 7'!$E$37</f>
        <v>7657072.5470000003</v>
      </c>
      <c r="I16" s="39">
        <f>'ACQR;TRGT 7'!$E$40</f>
        <v>1.3897747862546768</v>
      </c>
      <c r="J16" s="40">
        <f>'ACQR;TRGT 7'!$E$42</f>
        <v>4.6933936898738011</v>
      </c>
      <c r="K16" s="39">
        <f>'ACQR;TRGT 7'!$E$44</f>
        <v>4.9755742504418299</v>
      </c>
      <c r="L16" s="39"/>
      <c r="M16" s="41">
        <f>'ACQR;TRGT 7'!$M$41</f>
        <v>0.29611297881385396</v>
      </c>
      <c r="N16" s="39"/>
      <c r="O16" s="39">
        <f>'ACQR;TRGT 7'!$E$46</f>
        <v>6.429034254560241</v>
      </c>
      <c r="P16" s="42"/>
      <c r="Q16" s="41">
        <f>'ACQR;TRGT 7'!$E$53</f>
        <v>0.14000000000000001</v>
      </c>
      <c r="R16" s="41">
        <f>'ACQR;TRGT 7'!$E$54</f>
        <v>0.10800000000000001</v>
      </c>
      <c r="S16" s="41">
        <f>'ACQR;TRGT 7'!$E$55</f>
        <v>8.6000000000000007E-2</v>
      </c>
      <c r="T16" s="42"/>
      <c r="U16" s="26"/>
      <c r="V16" s="2"/>
      <c r="W16" s="26"/>
      <c r="X16" s="26"/>
      <c r="Y16" s="26"/>
      <c r="Z16" s="26"/>
      <c r="AA16" s="26"/>
      <c r="AB16" s="2"/>
      <c r="AC16" s="2"/>
      <c r="AD16" s="2"/>
      <c r="AE16" s="2"/>
      <c r="AF16" s="2"/>
      <c r="AG16" s="2"/>
    </row>
    <row r="17" spans="1:33" ht="30" customHeight="1" x14ac:dyDescent="0.2">
      <c r="A17" s="2"/>
      <c r="B17" s="43">
        <f>'ACQR;TRGT 8'!$E$16</f>
        <v>43238</v>
      </c>
      <c r="C17" s="44" t="str">
        <f>'ACQR;TRGT 8'!$E$12</f>
        <v>Nawaplastic Industries (SCG)</v>
      </c>
      <c r="D17" s="44" t="str">
        <f>'ACQR;TRGT 8'!$E$7</f>
        <v>Công ty Cổ phần Nhựa Bình Minh</v>
      </c>
      <c r="E17" s="44" t="str">
        <f>'ACQR;TRGT 8'!$E$18</f>
        <v>Tender offer</v>
      </c>
      <c r="F17" s="45" t="str">
        <f>'ACQR;TRGT 8'!$E$19</f>
        <v>Cash</v>
      </c>
      <c r="G17" s="46">
        <f>'ACQR;TRGT 8'!$E$30</f>
        <v>4936214.5614</v>
      </c>
      <c r="H17" s="46">
        <f>'ACQR;TRGT 8'!$E$37</f>
        <v>4693706.5914000003</v>
      </c>
      <c r="I17" s="47">
        <f>'ACQR;TRGT 8'!$E$40</f>
        <v>0.85191762710421948</v>
      </c>
      <c r="J17" s="54">
        <f>'ACQR;TRGT 8'!$E$42</f>
        <v>2.8770019825431632</v>
      </c>
      <c r="K17" s="47">
        <f>'ACQR;TRGT 8'!$E$44</f>
        <v>3.0499757592670136</v>
      </c>
      <c r="L17" s="47"/>
      <c r="M17" s="49">
        <f>'ACQR;TRGT 8'!$M$41</f>
        <v>0.29611297881385396</v>
      </c>
      <c r="N17" s="47"/>
      <c r="O17" s="47">
        <f>'ACQR;TRGT 8'!$E$46</f>
        <v>4.0173136326423062</v>
      </c>
      <c r="P17" s="50"/>
      <c r="Q17" s="53">
        <f>'ACQR;TRGT 8'!$E$53</f>
        <v>0.14500000000000002</v>
      </c>
      <c r="R17" s="53">
        <f>'ACQR;TRGT 8'!$E$54</f>
        <v>0.112</v>
      </c>
      <c r="S17" s="53">
        <f>'ACQR;TRGT 8'!$E$55</f>
        <v>8.8999999999999996E-2</v>
      </c>
      <c r="T17" s="42"/>
      <c r="U17" s="26"/>
      <c r="V17" s="2"/>
      <c r="W17" s="26"/>
      <c r="X17" s="26"/>
      <c r="Y17" s="26"/>
      <c r="Z17" s="26"/>
      <c r="AA17" s="26"/>
      <c r="AB17" s="2"/>
      <c r="AC17" s="2"/>
      <c r="AD17" s="2"/>
      <c r="AE17" s="2"/>
      <c r="AF17" s="2"/>
      <c r="AG17" s="2"/>
    </row>
    <row r="18" spans="1:33" ht="30" customHeight="1" x14ac:dyDescent="0.2">
      <c r="A18" s="2"/>
      <c r="B18" s="35">
        <f>'ACQR;TRGT 9'!$E$16</f>
        <v>43271</v>
      </c>
      <c r="C18" s="36" t="str">
        <f>'ACQR;TRGT 9'!$E$12</f>
        <v>Nawaplastic Industries (SCG)</v>
      </c>
      <c r="D18" s="36" t="str">
        <f>'ACQR;TRGT 9'!$E$7</f>
        <v>Công ty Cổ phần Nhựa Bình Minh</v>
      </c>
      <c r="E18" s="36" t="str">
        <f>'ACQR;TRGT 9'!$E$18</f>
        <v>Follow-on purchase</v>
      </c>
      <c r="F18" s="37" t="str">
        <f>'ACQR;TRGT 9'!$E$19</f>
        <v>Cash</v>
      </c>
      <c r="G18" s="52">
        <f>'ACQR;TRGT 9'!$E$30</f>
        <v>5239100.0320000006</v>
      </c>
      <c r="H18" s="52">
        <f>'ACQR;TRGT 9'!$E$37</f>
        <v>4996592.0620000008</v>
      </c>
      <c r="I18" s="39">
        <f>'ACQR;TRGT 9'!$E$40</f>
        <v>0.90689197762512275</v>
      </c>
      <c r="J18" s="55">
        <f>'ACQR;TRGT 9'!$E$42</f>
        <v>3.0626552785962948</v>
      </c>
      <c r="K18" s="39">
        <f>'ACQR;TRGT 9'!$E$44</f>
        <v>3.2467910746633351</v>
      </c>
      <c r="L18" s="39"/>
      <c r="M18" s="41">
        <f>'ACQR;TRGT 9'!$M$41</f>
        <v>0.29611297881385396</v>
      </c>
      <c r="N18" s="39"/>
      <c r="O18" s="39">
        <f>'ACQR;TRGT 9'!$E$46</f>
        <v>4.2638154641643045</v>
      </c>
      <c r="P18" s="42"/>
      <c r="Q18" s="41">
        <f>'ACQR;TRGT 9'!$E$53</f>
        <v>0.125</v>
      </c>
      <c r="R18" s="41">
        <f>'ACQR;TRGT 9'!$E$54</f>
        <v>9.6000000000000002E-2</v>
      </c>
      <c r="S18" s="41">
        <f>'ACQR;TRGT 9'!$E$55</f>
        <v>7.6999999999999999E-2</v>
      </c>
      <c r="T18" s="42"/>
      <c r="U18" s="26"/>
      <c r="V18" s="2"/>
      <c r="W18" s="26"/>
      <c r="X18" s="26"/>
      <c r="Y18" s="26"/>
      <c r="Z18" s="26"/>
      <c r="AA18" s="26"/>
      <c r="AB18" s="2"/>
      <c r="AC18" s="2"/>
      <c r="AD18" s="2"/>
      <c r="AE18" s="2"/>
      <c r="AF18" s="2"/>
      <c r="AG18" s="2"/>
    </row>
    <row r="19" spans="1:33" ht="30" customHeight="1" x14ac:dyDescent="0.2">
      <c r="A19" s="2"/>
      <c r="B19" s="43">
        <f>'ACQR;TRGT 10'!$E$16</f>
        <v>41261</v>
      </c>
      <c r="C19" s="44" t="str">
        <f>'ACQR;TRGT 10'!$E$12</f>
        <v>SCG</v>
      </c>
      <c r="D19" s="44" t="str">
        <f>'ACQR;TRGT 10'!$E$7</f>
        <v>Prime Group</v>
      </c>
      <c r="E19" s="44" t="str">
        <f>'ACQR;TRGT 10'!$E$18</f>
        <v>Majority acquisition</v>
      </c>
      <c r="F19" s="45" t="str">
        <f>'ACQR;TRGT 10'!$E$19</f>
        <v>Cash</v>
      </c>
      <c r="G19" s="46">
        <f>'ACQR;TRGT 10'!$E$30</f>
        <v>7341176.4705882352</v>
      </c>
      <c r="H19" s="46">
        <f>'ACQR;TRGT 10'!$E$37</f>
        <v>7341176.4705882352</v>
      </c>
      <c r="I19" s="47">
        <f>'ACQR;TRGT 10'!$E$40</f>
        <v>1</v>
      </c>
      <c r="J19" s="48">
        <f>'ACQR;TRGT 10'!$E$42</f>
        <v>9.0000000000000036</v>
      </c>
      <c r="K19" s="47">
        <f>'ACQR;TRGT 10'!$E$44</f>
        <v>12.000000000000007</v>
      </c>
      <c r="L19" s="47"/>
      <c r="M19" s="49">
        <f>'ACQR;TRGT 10'!$M$41</f>
        <v>0.11111111111111106</v>
      </c>
      <c r="N19" s="47"/>
      <c r="O19" s="47">
        <f>'ACQR;TRGT 10'!$E$46</f>
        <v>15.000000000000012</v>
      </c>
      <c r="P19" s="50"/>
      <c r="Q19" s="49">
        <f>'ACQR;TRGT 10'!$E$53</f>
        <v>0.13500000000000001</v>
      </c>
      <c r="R19" s="49">
        <f>'ACQR;TRGT 10'!$E$54</f>
        <v>0.10400000000000001</v>
      </c>
      <c r="S19" s="49">
        <f>'ACQR;TRGT 10'!$E$55</f>
        <v>8.3000000000000004E-2</v>
      </c>
      <c r="T19" s="42"/>
      <c r="U19" s="26"/>
      <c r="V19" s="2"/>
      <c r="W19" s="26"/>
      <c r="X19" s="26"/>
      <c r="Y19" s="26"/>
      <c r="Z19" s="26"/>
      <c r="AA19" s="26"/>
      <c r="AB19" s="2"/>
      <c r="AC19" s="2"/>
      <c r="AD19" s="2"/>
      <c r="AE19" s="2"/>
      <c r="AF19" s="2"/>
      <c r="AG19" s="2"/>
    </row>
    <row r="20" spans="1:33" ht="12.75" customHeight="1" x14ac:dyDescent="0.2">
      <c r="A20" s="2"/>
      <c r="B20" s="35"/>
      <c r="C20" s="56"/>
      <c r="D20" s="56"/>
      <c r="E20" s="56"/>
      <c r="F20" s="56"/>
      <c r="G20" s="57"/>
      <c r="H20" s="57"/>
      <c r="I20" s="58"/>
      <c r="J20" s="59"/>
      <c r="K20" s="58"/>
      <c r="L20" s="58"/>
      <c r="M20" s="60"/>
      <c r="N20" s="58"/>
      <c r="O20" s="58"/>
      <c r="P20" s="61"/>
      <c r="Q20" s="62"/>
      <c r="R20" s="62"/>
      <c r="S20" s="62"/>
      <c r="T20" s="42"/>
      <c r="U20" s="26"/>
      <c r="V20" s="2"/>
      <c r="W20" s="26"/>
      <c r="X20" s="26"/>
      <c r="Y20" s="26"/>
      <c r="Z20" s="26"/>
      <c r="AA20" s="26"/>
      <c r="AB20" s="2"/>
      <c r="AC20" s="2"/>
      <c r="AD20" s="2"/>
      <c r="AE20" s="2"/>
      <c r="AF20" s="2"/>
      <c r="AG20" s="2"/>
    </row>
    <row r="21" spans="1:33" ht="12.75" customHeight="1" x14ac:dyDescent="0.2">
      <c r="A21" s="2"/>
      <c r="B21" s="63" t="s">
        <v>46</v>
      </c>
      <c r="C21" s="64"/>
      <c r="D21" s="64"/>
      <c r="E21" s="64"/>
      <c r="F21" s="64"/>
      <c r="G21" s="63"/>
      <c r="H21" s="63"/>
      <c r="I21" s="65">
        <f>IF(ISERROR(AVERAGE(I10:I19)),"NA",AVERAGE(I10:I19))</f>
        <v>1.0897168781968039</v>
      </c>
      <c r="J21" s="66">
        <f>IF(ISERROR(AVERAGE(J10:J19)),"NA",AVERAGE(J10:J19))</f>
        <v>5.6266101902026504</v>
      </c>
      <c r="K21" s="65">
        <f>IF(ISERROR(AVERAGE(K10:K19)),"NA",AVERAGE(K10:K19))</f>
        <v>6.8544682168744346</v>
      </c>
      <c r="L21" s="67"/>
      <c r="M21" s="68">
        <f>IF(ISERROR(AVERAGE(M10:M19)),"NA",AVERAGE(M10:M19))</f>
        <v>0.2303066761772013</v>
      </c>
      <c r="N21" s="67"/>
      <c r="O21" s="65">
        <f>IF(ISERROR(AVERAGE(O10:O19)),"NA",AVERAGE(O10:O19))</f>
        <v>8.6920326702733686</v>
      </c>
      <c r="P21" s="64" t="str">
        <f>IF(ISERROR(AVERAGE(P10:P19)),"NA",AVERAGE(P10:P19))</f>
        <v>NA</v>
      </c>
      <c r="Q21" s="68">
        <f>IF(ISERROR(AVERAGE(Q10:Q19)),"NA",AVERAGE(Q10:Q19))</f>
        <v>0.13</v>
      </c>
      <c r="R21" s="68">
        <f>IF(ISERROR(AVERAGE(R10:R19)),"NA",AVERAGE(R10:R19))</f>
        <v>9.9999999999999992E-2</v>
      </c>
      <c r="S21" s="68">
        <f>IF(ISERROR(AVERAGE(S10:S19)),"NA",AVERAGE(S10:S19))</f>
        <v>7.9999999999999988E-2</v>
      </c>
      <c r="T21" s="2"/>
      <c r="U21" s="26"/>
      <c r="V21" s="2"/>
      <c r="W21" s="26"/>
      <c r="X21" s="26"/>
      <c r="Y21" s="26"/>
      <c r="Z21" s="26"/>
      <c r="AA21" s="26"/>
      <c r="AB21" s="2"/>
      <c r="AC21" s="2"/>
      <c r="AD21" s="2"/>
      <c r="AE21" s="2"/>
      <c r="AF21" s="2"/>
      <c r="AG21" s="2"/>
    </row>
    <row r="22" spans="1:33" ht="12.75" customHeight="1" x14ac:dyDescent="0.2">
      <c r="A22" s="2"/>
      <c r="B22" s="63" t="s">
        <v>47</v>
      </c>
      <c r="C22" s="64"/>
      <c r="D22" s="64"/>
      <c r="E22" s="64"/>
      <c r="F22" s="64"/>
      <c r="G22" s="63"/>
      <c r="H22" s="63"/>
      <c r="I22" s="65">
        <f>IF(ISERROR(MEDIAN(I10:I19)),"NA",MEDIAN(I10:I19))</f>
        <v>1</v>
      </c>
      <c r="J22" s="66">
        <f>IF(ISERROR(MEDIAN(J10:J19)),"NA",MEDIAN(J10:J19))</f>
        <v>4.6933936898738011</v>
      </c>
      <c r="K22" s="65">
        <f>IF(ISERROR(MEDIAN(K10:K19)),"NA",MEDIAN(K10:K19))</f>
        <v>4.9755742504418299</v>
      </c>
      <c r="L22" s="67"/>
      <c r="M22" s="68">
        <f>IF(ISERROR(MEDIAN(M10:M19)),"NA",MEDIAN(M10:M19))</f>
        <v>0.29611297881385396</v>
      </c>
      <c r="N22" s="67"/>
      <c r="O22" s="65">
        <f>IF(ISERROR(MEDIAN(O10:O19)),"NA",MEDIAN(O10:O19))</f>
        <v>6.429034254560241</v>
      </c>
      <c r="P22" s="64" t="str">
        <f>IF(ISERROR(MEDIAN(P10:P19)),"NA",MEDIAN(P10:P19))</f>
        <v>NA</v>
      </c>
      <c r="Q22" s="68">
        <f>IF(ISERROR(MEDIAN(Q10:Q19)),"NA",MEDIAN(Q10:Q19))</f>
        <v>0.13</v>
      </c>
      <c r="R22" s="68">
        <f>IF(ISERROR(MEDIAN(R10:R19)),"NA",MEDIAN(R10:R19))</f>
        <v>0.1</v>
      </c>
      <c r="S22" s="68">
        <f>IF(ISERROR(MEDIAN(S10:S19)),"NA",MEDIAN(S10:S19))</f>
        <v>0.08</v>
      </c>
      <c r="T22" s="2"/>
      <c r="U22" s="26"/>
      <c r="V22" s="2"/>
      <c r="W22" s="2"/>
      <c r="X22" s="2"/>
      <c r="Y22" s="2"/>
      <c r="Z22" s="2"/>
      <c r="AA22" s="2"/>
      <c r="AB22" s="2"/>
      <c r="AC22" s="2"/>
      <c r="AD22" s="2"/>
      <c r="AE22" s="2"/>
      <c r="AF22" s="2"/>
      <c r="AG22" s="2"/>
    </row>
    <row r="23" spans="1:33" ht="12.75" customHeight="1" x14ac:dyDescent="0.2">
      <c r="A23" s="2"/>
      <c r="B23" s="69"/>
      <c r="C23" s="2"/>
      <c r="D23" s="2"/>
      <c r="E23" s="2"/>
      <c r="F23" s="2"/>
      <c r="G23" s="69"/>
      <c r="H23" s="69"/>
      <c r="I23" s="70"/>
      <c r="J23" s="71"/>
      <c r="K23" s="70"/>
      <c r="L23" s="72"/>
      <c r="M23" s="73"/>
      <c r="N23" s="72"/>
      <c r="O23" s="70"/>
      <c r="P23" s="74"/>
      <c r="Q23" s="73"/>
      <c r="R23" s="73"/>
      <c r="S23" s="73"/>
      <c r="T23" s="2"/>
      <c r="U23" s="2"/>
      <c r="V23" s="2"/>
      <c r="W23" s="2"/>
      <c r="X23" s="2"/>
      <c r="Y23" s="2"/>
      <c r="Z23" s="2"/>
      <c r="AA23" s="2"/>
      <c r="AB23" s="2"/>
      <c r="AC23" s="2"/>
      <c r="AD23" s="2"/>
      <c r="AE23" s="2"/>
      <c r="AF23" s="2"/>
      <c r="AG23" s="2"/>
    </row>
    <row r="24" spans="1:33" ht="12.75" customHeight="1" x14ac:dyDescent="0.2">
      <c r="A24" s="2"/>
      <c r="B24" s="63" t="s">
        <v>48</v>
      </c>
      <c r="C24" s="64"/>
      <c r="D24" s="64"/>
      <c r="E24" s="64"/>
      <c r="F24" s="64"/>
      <c r="G24" s="63"/>
      <c r="H24" s="63"/>
      <c r="I24" s="65">
        <f>+MAX(I10:I19)</f>
        <v>1.5</v>
      </c>
      <c r="J24" s="66">
        <f>+MAX(J10:J19)</f>
        <v>9.0000000000000036</v>
      </c>
      <c r="K24" s="65">
        <f>+MAX(K10:K19)</f>
        <v>12.000000000000007</v>
      </c>
      <c r="L24" s="67"/>
      <c r="M24" s="68">
        <f>+MAX(M10:M19)</f>
        <v>0.29611297881385396</v>
      </c>
      <c r="N24" s="67"/>
      <c r="O24" s="65">
        <f>+MAX(O10:O19)</f>
        <v>15.000000000000012</v>
      </c>
      <c r="P24" s="64"/>
      <c r="Q24" s="68">
        <f>+MAX(Q10:Q19)</f>
        <v>0.14500000000000002</v>
      </c>
      <c r="R24" s="68">
        <f>+MAX(R10:R19)</f>
        <v>0.112</v>
      </c>
      <c r="S24" s="68">
        <f>+MAX(S10:S19)</f>
        <v>8.8999999999999996E-2</v>
      </c>
      <c r="T24" s="2"/>
      <c r="U24" s="2"/>
      <c r="V24" s="2"/>
      <c r="W24" s="2"/>
      <c r="X24" s="2"/>
      <c r="Y24" s="2"/>
      <c r="Z24" s="2"/>
      <c r="AA24" s="2"/>
      <c r="AB24" s="2"/>
      <c r="AC24" s="2"/>
      <c r="AD24" s="2"/>
      <c r="AE24" s="2"/>
      <c r="AF24" s="2"/>
      <c r="AG24" s="2"/>
    </row>
    <row r="25" spans="1:33" ht="12.75" customHeight="1" x14ac:dyDescent="0.2">
      <c r="A25" s="2"/>
      <c r="B25" s="63" t="s">
        <v>49</v>
      </c>
      <c r="C25" s="64"/>
      <c r="D25" s="64"/>
      <c r="E25" s="64"/>
      <c r="F25" s="64"/>
      <c r="G25" s="63"/>
      <c r="H25" s="63"/>
      <c r="I25" s="65">
        <f>+MIN(I10:I19)</f>
        <v>0.85191762710421948</v>
      </c>
      <c r="J25" s="75">
        <f>+MIN(J10:J19)</f>
        <v>2.8770019825431632</v>
      </c>
      <c r="K25" s="65">
        <f>+MIN(K10:K19)</f>
        <v>3.0499757592670136</v>
      </c>
      <c r="L25" s="67"/>
      <c r="M25" s="68">
        <f>+MIN(M10:M19)</f>
        <v>0.11111111111111106</v>
      </c>
      <c r="N25" s="67"/>
      <c r="O25" s="65">
        <f>+MIN(O10:O19)</f>
        <v>4.0173136326423062</v>
      </c>
      <c r="P25" s="64"/>
      <c r="Q25" s="68">
        <f>+MIN(Q10:Q19)</f>
        <v>0.115</v>
      </c>
      <c r="R25" s="68">
        <f>+MIN(R10:R19)</f>
        <v>8.8000000000000009E-2</v>
      </c>
      <c r="S25" s="68">
        <f>+MIN(S10:S19)</f>
        <v>7.1000000000000008E-2</v>
      </c>
      <c r="T25" s="2"/>
      <c r="U25" s="2"/>
      <c r="V25" s="2"/>
      <c r="W25" s="2"/>
      <c r="X25" s="2"/>
      <c r="Y25" s="2"/>
      <c r="Z25" s="2"/>
      <c r="AA25" s="2"/>
      <c r="AB25" s="2"/>
      <c r="AC25" s="2"/>
      <c r="AD25" s="2"/>
      <c r="AE25" s="2"/>
      <c r="AF25" s="2"/>
      <c r="AG25" s="2"/>
    </row>
    <row r="26" spans="1:33" ht="3.75" customHeight="1" x14ac:dyDescent="0.2">
      <c r="A26" s="2"/>
      <c r="B26" s="2"/>
      <c r="C26" s="2"/>
      <c r="D26" s="2"/>
      <c r="E26" s="2"/>
      <c r="F26" s="69"/>
      <c r="G26" s="69"/>
      <c r="H26" s="69"/>
      <c r="I26" s="74"/>
      <c r="J26" s="70"/>
      <c r="K26" s="70"/>
      <c r="L26" s="72"/>
      <c r="M26" s="73"/>
      <c r="N26" s="72"/>
      <c r="O26" s="70"/>
      <c r="P26" s="74"/>
      <c r="Q26" s="73"/>
      <c r="R26" s="73"/>
      <c r="S26" s="73"/>
      <c r="T26" s="2"/>
      <c r="U26" s="2"/>
      <c r="V26" s="2"/>
      <c r="W26" s="2"/>
      <c r="X26" s="2"/>
      <c r="Y26" s="2"/>
      <c r="Z26" s="2"/>
      <c r="AA26" s="2"/>
      <c r="AB26" s="2"/>
      <c r="AC26" s="2"/>
      <c r="AD26" s="2"/>
      <c r="AE26" s="2"/>
      <c r="AF26" s="2"/>
      <c r="AG26" s="2"/>
    </row>
    <row r="27" spans="1:33" ht="12.75" customHeight="1" x14ac:dyDescent="0.2">
      <c r="A27" s="2"/>
      <c r="B27" s="76"/>
      <c r="C27" s="76"/>
      <c r="D27" s="2"/>
      <c r="E27" s="2"/>
      <c r="F27" s="77"/>
      <c r="G27" s="77"/>
      <c r="H27" s="77"/>
      <c r="I27" s="2"/>
      <c r="J27" s="78"/>
      <c r="K27" s="79"/>
      <c r="L27" s="79"/>
      <c r="M27" s="80"/>
      <c r="N27" s="79"/>
      <c r="O27" s="79"/>
      <c r="P27" s="74"/>
      <c r="Q27" s="80"/>
      <c r="R27" s="80"/>
      <c r="S27" s="80"/>
      <c r="T27" s="2"/>
      <c r="U27" s="2"/>
      <c r="V27" s="2"/>
      <c r="W27" s="2"/>
      <c r="X27" s="2"/>
      <c r="Y27" s="2"/>
      <c r="Z27" s="2"/>
      <c r="AA27" s="2"/>
      <c r="AB27" s="2"/>
      <c r="AC27" s="2"/>
      <c r="AD27" s="2"/>
      <c r="AE27" s="2"/>
      <c r="AF27" s="2"/>
      <c r="AG27" s="2"/>
    </row>
    <row r="28" spans="1:33" ht="12.75" customHeight="1" x14ac:dyDescent="0.2">
      <c r="A28" s="2"/>
      <c r="B28" s="81" t="s">
        <v>50</v>
      </c>
      <c r="C28" s="2"/>
      <c r="D28" s="2"/>
      <c r="E28" s="2"/>
      <c r="F28" s="77"/>
      <c r="G28" s="77"/>
      <c r="H28" s="77"/>
      <c r="I28" s="2"/>
      <c r="J28" s="82"/>
      <c r="K28" s="82"/>
      <c r="L28" s="77"/>
      <c r="M28" s="83"/>
      <c r="N28" s="77"/>
      <c r="O28" s="77"/>
      <c r="P28" s="2"/>
      <c r="Q28" s="83"/>
      <c r="R28" s="83"/>
      <c r="S28" s="83"/>
      <c r="T28" s="2"/>
      <c r="U28" s="2"/>
      <c r="V28" s="2"/>
      <c r="W28" s="2"/>
      <c r="X28" s="2"/>
      <c r="Y28" s="2"/>
      <c r="Z28" s="2"/>
      <c r="AA28" s="2"/>
      <c r="AB28" s="2"/>
      <c r="AC28" s="2"/>
      <c r="AD28" s="2"/>
      <c r="AE28" s="2"/>
      <c r="AF28" s="2"/>
      <c r="AG28" s="2"/>
    </row>
    <row r="29" spans="1:33" ht="12.75" customHeight="1" x14ac:dyDescent="0.2">
      <c r="A29" s="2"/>
      <c r="B29" s="2"/>
      <c r="C29" s="2"/>
      <c r="D29" s="26"/>
      <c r="E29" s="2"/>
      <c r="F29" s="77"/>
      <c r="G29" s="77"/>
      <c r="H29" s="77"/>
      <c r="I29" s="2"/>
      <c r="J29" s="2"/>
      <c r="K29" s="77"/>
      <c r="L29" s="77"/>
      <c r="M29" s="83"/>
      <c r="N29" s="77"/>
      <c r="O29" s="77"/>
      <c r="P29" s="2"/>
      <c r="Q29" s="83"/>
      <c r="R29" s="83"/>
      <c r="S29" s="83"/>
      <c r="T29" s="2"/>
      <c r="U29" s="2"/>
      <c r="V29" s="2"/>
      <c r="W29" s="2"/>
      <c r="X29" s="2"/>
      <c r="Y29" s="2"/>
      <c r="Z29" s="2"/>
      <c r="AA29" s="2"/>
      <c r="AB29" s="2"/>
      <c r="AC29" s="2"/>
      <c r="AD29" s="2"/>
      <c r="AE29" s="2"/>
      <c r="AF29" s="2"/>
      <c r="AG29" s="2"/>
    </row>
    <row r="30" spans="1:33" ht="12.75" customHeight="1" x14ac:dyDescent="0.2">
      <c r="A30" s="2"/>
      <c r="B30" s="2"/>
      <c r="C30" s="2"/>
      <c r="D30" s="2"/>
      <c r="E30" s="2"/>
      <c r="F30" s="2"/>
      <c r="G30" s="2"/>
      <c r="H30" s="2"/>
      <c r="I30" s="2"/>
      <c r="J30" s="2"/>
      <c r="K30" s="2"/>
      <c r="L30" s="2"/>
      <c r="M30" s="60"/>
      <c r="N30" s="2"/>
      <c r="O30" s="2"/>
      <c r="P30" s="2"/>
      <c r="Q30" s="2"/>
      <c r="R30" s="2"/>
      <c r="S30" s="2"/>
      <c r="T30" s="2"/>
      <c r="U30" s="2"/>
      <c r="V30" s="2"/>
      <c r="W30" s="2"/>
      <c r="X30" s="2"/>
      <c r="Y30" s="2"/>
      <c r="Z30" s="2"/>
      <c r="AA30" s="2"/>
      <c r="AB30" s="2"/>
      <c r="AC30" s="2"/>
      <c r="AD30" s="2"/>
      <c r="AE30" s="2"/>
      <c r="AF30" s="2"/>
      <c r="AG30" s="2"/>
    </row>
    <row r="31" spans="1:33"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3"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33"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3"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1:33"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1:33"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1:33"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1:33"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1:33"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1:33"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1:33"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1:33"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1:33"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1:33"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spans="1:33"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spans="1:33"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spans="1:33"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spans="1:33"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spans="1:33"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spans="1:33"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spans="1:33"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spans="1:33"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spans="1:33"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spans="1:33"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spans="1:33"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spans="1:33"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spans="1:33"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spans="1:33"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spans="1:33"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spans="1:33"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spans="1:33"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spans="1:33"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spans="1:33"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spans="1:33"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spans="1:33"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spans="1:33"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spans="1:33"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spans="1:33"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spans="1:33"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spans="1:33"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spans="1:33"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spans="1:33"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spans="1:33"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spans="1:33"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spans="1:33"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spans="1:33"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spans="1:33"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spans="1:33"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spans="1:33"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spans="1:33"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spans="1:33"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spans="1:33"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spans="1:33"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spans="1:33"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spans="1:33"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spans="1:33"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spans="1:33"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spans="1:33"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spans="1:33"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spans="1:33"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spans="1:33"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spans="1:33"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spans="1:33"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spans="1:33"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spans="1:33"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spans="1:33"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spans="1:33"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spans="1:33"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spans="1:33"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spans="1:33"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spans="1:33"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spans="1:33"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spans="1:33"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spans="1:33"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spans="1:33"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spans="1:33"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spans="1:33"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spans="1:33"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spans="1:33"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spans="1:33"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spans="1:33"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spans="1:33"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spans="1:33"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spans="1:33"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spans="1:33"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spans="1:33"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spans="1:33"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spans="1:33"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spans="1:33"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spans="1:33"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spans="1:33"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spans="1:33"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spans="1:33"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spans="1:33"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spans="1:33"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spans="1:33"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spans="1:33"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spans="1:33"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spans="1:33"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spans="1:33"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spans="1:33"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spans="1:33"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spans="1:33"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spans="1:33"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spans="1:33"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spans="1:33"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spans="1:33"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spans="1:33"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spans="1:33"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spans="1:33"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spans="1:33"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spans="1:33"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spans="1:33"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spans="1:33"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spans="1:33"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spans="1:33"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spans="1:33"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spans="1:33"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spans="1:33"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spans="1:33"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spans="1:33"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spans="1:33"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spans="1:33"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spans="1:33"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spans="1:33"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spans="1:33"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spans="1:33"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spans="1:33"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spans="1:33"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spans="1:33"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spans="1:33"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spans="1:33"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spans="1:33"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spans="1:33"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spans="1:33"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spans="1:33"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spans="1:33"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spans="1:33"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spans="1:33"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spans="1:33"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spans="1:33"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spans="1:33"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spans="1:33"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spans="1:33"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spans="1:33"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spans="1:33"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spans="1:33"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spans="1:33"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spans="1:33"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spans="1:33"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spans="1:33"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spans="1:33"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spans="1:33"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spans="1:33"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spans="1:33"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spans="1:33"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spans="1:33"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spans="1:33"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spans="1:33"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spans="1:33"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spans="1:33"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spans="1:33"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spans="1:33"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spans="1:33"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spans="1:33"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spans="1:33"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spans="1:33"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spans="1:33"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spans="1:33"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spans="1:33"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spans="1:33"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spans="1:33"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spans="1:33"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spans="1:33"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spans="1:33"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spans="1:33"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spans="1:33"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spans="1:33"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spans="1:33"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spans="1:33"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spans="1:33"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spans="1:33"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spans="1:33"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spans="1:33"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spans="1:33"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spans="1:33"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spans="1:33"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spans="1:33"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spans="1:33"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spans="1:33"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spans="1:33"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spans="1:33"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spans="1:33"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spans="1:33"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spans="1:33"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spans="1:33"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spans="1:33"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spans="1:33"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spans="1:33"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spans="1:33"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spans="1:33"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spans="1:33"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spans="1:33"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spans="1:33"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spans="1:33"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spans="1:33"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spans="1:33"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spans="1:33"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spans="1:33"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spans="1:33"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spans="1:33"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spans="1:33"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spans="1:33"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spans="1:33"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spans="1:33"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spans="1:33"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spans="1:33"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spans="1:33"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spans="1:33"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spans="1:33"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spans="1:33"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spans="1:33"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spans="1:33"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spans="1:33"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spans="1:33"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spans="1:33"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spans="1:33"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spans="1:33"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spans="1:33"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spans="1:33"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spans="1:33"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spans="1:33"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spans="1:33"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spans="1:33"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spans="1:33"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spans="1:33"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spans="1:33"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spans="1:33"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spans="1:33"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spans="1:33"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spans="1:33"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spans="1:33"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spans="1:33"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spans="1:33"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spans="1:33"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spans="1:33"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spans="1:33"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spans="1:33"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spans="1:33"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spans="1:33"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spans="1:33"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spans="1:33"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spans="1:33"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spans="1:33"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spans="1:33"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spans="1:33"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spans="1:33"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spans="1:33"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spans="1:33"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spans="1:33"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spans="1:33"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spans="1:33"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spans="1:33"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spans="1:33"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spans="1:33"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spans="1:33"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spans="1:33"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spans="1:33"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spans="1:33"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spans="1:33"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spans="1:33"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spans="1:33"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spans="1:33"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spans="1:33"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spans="1:33"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spans="1:33"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spans="1:33"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spans="1:33"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spans="1:33"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spans="1:33"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spans="1:33"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spans="1:33"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spans="1:33"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spans="1:33"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spans="1:33"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spans="1:33"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spans="1:33"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spans="1:33"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spans="1:33"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spans="1:33"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spans="1:33"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spans="1:33"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spans="1:33"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spans="1:33"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spans="1:33"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spans="1:33"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spans="1:33"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spans="1:33"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spans="1:33"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spans="1:33"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spans="1:33"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spans="1:33"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spans="1:33"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spans="1:33"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spans="1:33"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spans="1:33"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spans="1:33"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spans="1:33"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spans="1:33"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spans="1:33"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spans="1:33"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spans="1:33"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spans="1:33"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spans="1:33"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spans="1:33"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spans="1:33"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spans="1:33"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spans="1:33"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spans="1:33"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spans="1:33"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spans="1:33"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spans="1:33"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spans="1:33"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spans="1:33"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spans="1:33"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spans="1:33"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spans="1:33"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spans="1:33"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spans="1:33"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spans="1:33"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spans="1:33"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spans="1:33"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spans="1:33"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spans="1:33"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spans="1:33"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spans="1:33"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spans="1:33"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spans="1:33"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spans="1:33"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spans="1:33"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spans="1:33"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spans="1:33"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spans="1:33"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spans="1:33"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spans="1:33"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spans="1:33"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spans="1:33"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spans="1:33"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spans="1:33"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spans="1:33"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spans="1:33"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spans="1:33"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spans="1:33"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spans="1:33"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spans="1:33"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spans="1:33"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spans="1:33"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spans="1:33"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spans="1:33"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spans="1:33"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spans="1:33"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spans="1:33"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spans="1:33"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spans="1:33"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sheetData>
  <mergeCells count="3">
    <mergeCell ref="I6:K6"/>
    <mergeCell ref="Q7:S7"/>
    <mergeCell ref="Q6:S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43168</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43168</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79</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96500</v>
      </c>
      <c r="F23" s="2"/>
      <c r="G23" s="88"/>
      <c r="H23" s="88"/>
      <c r="I23" s="88"/>
      <c r="J23" s="96"/>
      <c r="K23" s="97"/>
      <c r="L23" s="98"/>
      <c r="M23" s="96"/>
      <c r="N23" s="2"/>
      <c r="O23" s="223" t="s">
        <v>91</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96500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7899580.517</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7657072.5470000003</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1.3897747862546768</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4.6933936898738011</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4.9755742504418299</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6.429034254560241</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70955.882352941189</v>
      </c>
      <c r="E51" s="172">
        <f>IF(ISERROR($E$27/D51-1),"NA",$E$27/D51-1)</f>
        <v>0.35999999999999965</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70955.882352941189</v>
      </c>
      <c r="E53" s="208">
        <v>0.115</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72885.196374622348</v>
      </c>
      <c r="E54" s="208">
        <v>8.8000000000000009E-2</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75984.25196850393</v>
      </c>
      <c r="E55" s="208">
        <v>7.1000000000000008E-2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43168</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174</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dataValidations count="2">
    <dataValidation type="list" allowBlank="1" showDropDown="1" showInputMessage="1" showErrorMessage="1" prompt=" - " sqref="U44" xr:uid="{00000000-0002-0000-0300-000000000000}">
      <formula1>$U$29</formula1>
    </dataValidation>
    <dataValidation type="list" allowBlank="1" showInputMessage="1" showErrorMessage="1" prompt=" - " sqref="U37" xr:uid="{00000000-0002-0000-0300-000001000000}">
      <formula1>$U$22</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43238</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43238</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179</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60300</v>
      </c>
      <c r="F23" s="2"/>
      <c r="G23" s="88"/>
      <c r="H23" s="88"/>
      <c r="I23" s="88"/>
      <c r="J23" s="96"/>
      <c r="K23" s="97"/>
      <c r="L23" s="98"/>
      <c r="M23" s="96"/>
      <c r="N23" s="2"/>
      <c r="O23" s="223" t="s">
        <v>180</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60300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4936214.5614</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4693706.5914000003</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0.85191762710421948</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2.8770019825431632</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3.0499757592670136</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4.0173136326423062</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51101.694915254237</v>
      </c>
      <c r="E51" s="172">
        <f>IF(ISERROR($E$27/D51-1),"NA",$E$27/D51-1)</f>
        <v>0.17999999999999994</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51101.694915254237</v>
      </c>
      <c r="E53" s="208">
        <v>0.12000000000000001</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51893.287435456114</v>
      </c>
      <c r="E54" s="208">
        <v>9.1999999999999998E-2</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53127.753303964761</v>
      </c>
      <c r="E55" s="208">
        <v>7.3999999999999996E-2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43238</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181</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dataValidations count="2">
    <dataValidation type="list" allowBlank="1" showDropDown="1" showInputMessage="1" showErrorMessage="1" prompt=" - " sqref="U44" xr:uid="{00000000-0002-0000-0400-000000000000}">
      <formula1>$U$29</formula1>
    </dataValidation>
    <dataValidation type="list" allowBlank="1" showInputMessage="1" showErrorMessage="1" prompt=" - " sqref="U37" xr:uid="{00000000-0002-0000-0400-000001000000}">
      <formula1>$U$22</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Công ty Cổ phần Nhựa Bình Minh by Nawaplastic Industries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56</v>
      </c>
      <c r="F7" s="2"/>
      <c r="G7" s="88"/>
      <c r="H7" s="88"/>
      <c r="I7" s="88"/>
      <c r="J7" s="88"/>
      <c r="K7" s="90" t="s">
        <v>57</v>
      </c>
      <c r="L7" s="90" t="s">
        <v>58</v>
      </c>
      <c r="M7" s="88"/>
      <c r="N7" s="2"/>
      <c r="O7" s="223" t="s">
        <v>59</v>
      </c>
      <c r="P7" s="216"/>
      <c r="Q7" s="216"/>
      <c r="R7" s="216"/>
      <c r="S7" s="216"/>
      <c r="T7" s="2"/>
      <c r="U7" s="2"/>
      <c r="V7" s="2"/>
      <c r="W7" s="2"/>
      <c r="X7" s="2"/>
      <c r="Y7" s="2"/>
      <c r="Z7" s="2"/>
    </row>
    <row r="8" spans="1:26" ht="12.75" customHeight="1" x14ac:dyDescent="0.2">
      <c r="A8" s="2"/>
      <c r="B8" s="88" t="s">
        <v>60</v>
      </c>
      <c r="C8" s="88"/>
      <c r="D8" s="88"/>
      <c r="E8" s="141" t="s">
        <v>61</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5509577.9709999999</v>
      </c>
      <c r="K10" s="154">
        <v>5509577.9709999999</v>
      </c>
      <c r="L10" s="155">
        <v>5509577.9709999999</v>
      </c>
      <c r="M10" s="156">
        <f>J10+L10-K10</f>
        <v>5509577.9709999999</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2970013.7940000002</v>
      </c>
      <c r="K11" s="158">
        <v>2970013.7940000002</v>
      </c>
      <c r="L11" s="159">
        <v>2970013.7940000002</v>
      </c>
      <c r="M11" s="160">
        <f>J11+L11-K11</f>
        <v>2970013.7940000002</v>
      </c>
      <c r="N11" s="2"/>
      <c r="O11" s="216"/>
      <c r="P11" s="216"/>
      <c r="Q11" s="216"/>
      <c r="R11" s="216"/>
      <c r="S11" s="216"/>
      <c r="T11" s="2"/>
      <c r="U11" s="2"/>
      <c r="V11" s="2"/>
      <c r="W11" s="2"/>
      <c r="X11" s="2"/>
      <c r="Y11" s="2"/>
      <c r="Z11" s="2"/>
    </row>
    <row r="12" spans="1:26" ht="12.75" customHeight="1" x14ac:dyDescent="0.2">
      <c r="A12" s="2"/>
      <c r="B12" s="87" t="s">
        <v>23</v>
      </c>
      <c r="C12" s="88"/>
      <c r="D12" s="89"/>
      <c r="E12" s="141" t="s">
        <v>67</v>
      </c>
      <c r="F12" s="2"/>
      <c r="G12" s="87" t="s">
        <v>68</v>
      </c>
      <c r="H12" s="88"/>
      <c r="I12" s="88"/>
      <c r="J12" s="156">
        <f>J10-SUM(J11)</f>
        <v>2539564.1769999997</v>
      </c>
      <c r="K12" s="161">
        <f>K10-SUM(K11)</f>
        <v>2539564.1769999997</v>
      </c>
      <c r="L12" s="162">
        <f>L10-SUM(L11)</f>
        <v>2539564.1769999997</v>
      </c>
      <c r="M12" s="156">
        <f>M10-SUM(M11)</f>
        <v>2539564.1769999997</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876684.83799999999</v>
      </c>
      <c r="K13" s="158">
        <v>876684.83799999999</v>
      </c>
      <c r="L13" s="159">
        <v>876684.83799999999</v>
      </c>
      <c r="M13" s="163">
        <f>J13+L13-K13</f>
        <v>876684.83799999999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123946.91400000011</v>
      </c>
      <c r="K14" s="165">
        <v>123946.91400000011</v>
      </c>
      <c r="L14" s="166">
        <v>123946.91400000011</v>
      </c>
      <c r="M14" s="167">
        <f>J14+L14-K14</f>
        <v>123946.91400000011</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1538932.4249999996</v>
      </c>
      <c r="K15" s="161">
        <f>K12-SUM(K13:K14)</f>
        <v>1538932.4249999996</v>
      </c>
      <c r="L15" s="162">
        <f>L12-SUM(L13:L14)</f>
        <v>1538932.4249999996</v>
      </c>
      <c r="M15" s="156">
        <f>M12-SUM(M13:M14)</f>
        <v>1538932.4249999996</v>
      </c>
      <c r="N15" s="2"/>
      <c r="O15" s="223" t="s">
        <v>67</v>
      </c>
      <c r="P15" s="216"/>
      <c r="Q15" s="216"/>
      <c r="R15" s="216"/>
      <c r="S15" s="216"/>
      <c r="T15" s="2"/>
      <c r="U15" s="2"/>
      <c r="V15" s="2"/>
      <c r="W15" s="2"/>
      <c r="X15" s="2"/>
      <c r="Y15" s="2"/>
      <c r="Z15" s="2"/>
    </row>
    <row r="16" spans="1:26" ht="15" customHeight="1" x14ac:dyDescent="0.2">
      <c r="A16" s="2"/>
      <c r="B16" s="88" t="s">
        <v>74</v>
      </c>
      <c r="C16" s="88"/>
      <c r="D16" s="88"/>
      <c r="E16" s="143">
        <v>43271</v>
      </c>
      <c r="F16" s="2"/>
      <c r="G16" s="88" t="s">
        <v>75</v>
      </c>
      <c r="H16" s="93"/>
      <c r="I16" s="93"/>
      <c r="J16" s="157">
        <v>13.86</v>
      </c>
      <c r="K16" s="158">
        <v>13.86</v>
      </c>
      <c r="L16" s="159">
        <v>13.86</v>
      </c>
      <c r="M16" s="160">
        <f>J16+L16-K16</f>
        <v>13.86</v>
      </c>
      <c r="N16" s="2"/>
      <c r="O16" s="216"/>
      <c r="P16" s="216"/>
      <c r="Q16" s="216"/>
      <c r="R16" s="216"/>
      <c r="S16" s="216"/>
      <c r="T16" s="2"/>
      <c r="U16" s="2"/>
      <c r="V16" s="2"/>
      <c r="W16" s="2"/>
      <c r="X16" s="2"/>
      <c r="Y16" s="2"/>
      <c r="Z16" s="2"/>
    </row>
    <row r="17" spans="1:26" ht="12.75" customHeight="1" x14ac:dyDescent="0.2">
      <c r="A17" s="2"/>
      <c r="B17" s="88" t="s">
        <v>76</v>
      </c>
      <c r="C17" s="88"/>
      <c r="D17" s="88"/>
      <c r="E17" s="143">
        <v>43271</v>
      </c>
      <c r="F17" s="2"/>
      <c r="G17" s="87" t="s">
        <v>77</v>
      </c>
      <c r="H17" s="88"/>
      <c r="I17" s="88"/>
      <c r="J17" s="156">
        <f>J15-SUM(J16)</f>
        <v>1538918.5649999995</v>
      </c>
      <c r="K17" s="161">
        <f>K15-SUM(K16)</f>
        <v>1538918.5649999995</v>
      </c>
      <c r="L17" s="162">
        <f>L15-SUM(L16)</f>
        <v>1538918.5649999995</v>
      </c>
      <c r="M17" s="156">
        <f>M15-SUM(M16)</f>
        <v>1538918.5649999995</v>
      </c>
      <c r="N17" s="2"/>
      <c r="O17" s="216"/>
      <c r="P17" s="216"/>
      <c r="Q17" s="216"/>
      <c r="R17" s="216"/>
      <c r="S17" s="216"/>
      <c r="T17" s="2"/>
      <c r="U17" s="2"/>
      <c r="V17" s="2"/>
      <c r="W17" s="2"/>
      <c r="X17" s="2"/>
      <c r="Y17" s="2"/>
      <c r="Z17" s="2"/>
    </row>
    <row r="18" spans="1:26" ht="12.75" customHeight="1" x14ac:dyDescent="0.2">
      <c r="A18" s="2"/>
      <c r="B18" s="88" t="s">
        <v>78</v>
      </c>
      <c r="C18" s="88"/>
      <c r="D18" s="88"/>
      <c r="E18" s="141" t="s">
        <v>182</v>
      </c>
      <c r="F18" s="2"/>
      <c r="G18" s="88" t="s">
        <v>80</v>
      </c>
      <c r="H18" s="88"/>
      <c r="I18" s="88"/>
      <c r="J18" s="157">
        <v>310183.39199999999</v>
      </c>
      <c r="K18" s="158">
        <v>310183.39199999999</v>
      </c>
      <c r="L18" s="159">
        <v>310183.39199999999</v>
      </c>
      <c r="M18" s="163">
        <f>J18+L18-K18</f>
        <v>310183.39199999999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1228735.1729999995</v>
      </c>
      <c r="K21" s="170">
        <f>K17-SUM(K18:K20)</f>
        <v>1228735.1729999995</v>
      </c>
      <c r="L21" s="171">
        <f>L17-SUM(L18:L20)</f>
        <v>1228735.1729999995</v>
      </c>
      <c r="M21" s="169">
        <f>M17-SUM(M18:M20)</f>
        <v>1228735.1729999995</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0.20155932812468222</v>
      </c>
      <c r="K22" s="173">
        <f>+IF(ISERROR(K18/K17),"NA",K18/K17)</f>
        <v>0.20155932812468222</v>
      </c>
      <c r="L22" s="174">
        <f>+IF(ISERROR(L18/L17),"NA",L18/L17)</f>
        <v>0.20155932812468222</v>
      </c>
      <c r="M22" s="172">
        <f>+IF(ISERROR(M18/M17),"NA",M18/M17)</f>
        <v>0.20155932812468222</v>
      </c>
      <c r="N22" s="2"/>
      <c r="O22" s="220" t="s">
        <v>89</v>
      </c>
      <c r="P22" s="216"/>
      <c r="Q22" s="216"/>
      <c r="R22" s="216"/>
      <c r="S22" s="216"/>
      <c r="T22" s="2"/>
      <c r="U22" s="2"/>
      <c r="V22" s="2"/>
      <c r="W22" s="2"/>
      <c r="X22" s="2"/>
      <c r="Y22" s="2"/>
      <c r="Z22" s="2"/>
    </row>
    <row r="23" spans="1:26" ht="12.75" customHeight="1" x14ac:dyDescent="0.2">
      <c r="A23" s="2"/>
      <c r="B23" s="88" t="s">
        <v>90</v>
      </c>
      <c r="C23" s="88"/>
      <c r="D23" s="88"/>
      <c r="E23" s="144">
        <v>64000</v>
      </c>
      <c r="F23" s="2"/>
      <c r="G23" s="88"/>
      <c r="H23" s="88"/>
      <c r="I23" s="88"/>
      <c r="J23" s="96"/>
      <c r="K23" s="97"/>
      <c r="L23" s="98"/>
      <c r="M23" s="96"/>
      <c r="N23" s="2"/>
      <c r="O23" s="223" t="s">
        <v>183</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81.860938000000004</v>
      </c>
      <c r="K24" s="158">
        <v>81.860938000000004</v>
      </c>
      <c r="L24" s="159">
        <v>81.860938000000004</v>
      </c>
      <c r="M24" s="163">
        <f>+IF(ISERROR(J24+L24-K24),"NA",J24+L24-K24)</f>
        <v>81.860938000000004</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15010.030461659253</v>
      </c>
      <c r="K25" s="103">
        <f>IF(ISERROR(K21/K24),"NA",K21/K24)</f>
        <v>15010.030461659253</v>
      </c>
      <c r="L25" s="104">
        <f>IF(ISERROR(L21/L24),"NA",L21/L24)</f>
        <v>15010.030461659253</v>
      </c>
      <c r="M25" s="102">
        <f>+IF(ISERROR(J25+L25-K25),"NA",J25+L25-K25)</f>
        <v>15010.030461659253</v>
      </c>
      <c r="N25" s="2"/>
      <c r="O25" s="216"/>
      <c r="P25" s="216"/>
      <c r="Q25" s="216"/>
      <c r="R25" s="216"/>
      <c r="S25" s="216"/>
      <c r="T25" s="2"/>
      <c r="U25" s="2"/>
      <c r="V25" s="2"/>
      <c r="W25" s="2"/>
      <c r="X25" s="2"/>
      <c r="Y25" s="2"/>
      <c r="Z25" s="2"/>
    </row>
    <row r="26" spans="1:26" ht="15" customHeight="1" x14ac:dyDescent="0.2">
      <c r="A26" s="2"/>
      <c r="B26" s="100" t="str">
        <f>""&amp;E12&amp;" Share Price"</f>
        <v>Nawaplastic Industries (SCG)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64000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2539564.1769999997</v>
      </c>
      <c r="K28" s="176">
        <f>K12</f>
        <v>2539564.1769999997</v>
      </c>
      <c r="L28" s="177">
        <f>L12</f>
        <v>2539564.1769999997</v>
      </c>
      <c r="M28" s="175">
        <f>M12</f>
        <v>2539564.1769999997</v>
      </c>
      <c r="N28" s="2"/>
      <c r="O28" s="216"/>
      <c r="P28" s="216"/>
      <c r="Q28" s="216"/>
      <c r="R28" s="216"/>
      <c r="S28" s="216"/>
      <c r="T28" s="2"/>
      <c r="U28" s="2"/>
      <c r="V28" s="2"/>
      <c r="W28" s="2"/>
      <c r="X28" s="2"/>
      <c r="Y28" s="2"/>
      <c r="Z28" s="2"/>
    </row>
    <row r="29" spans="1:26" ht="15" customHeight="1" x14ac:dyDescent="0.2">
      <c r="A29" s="2"/>
      <c r="B29" s="88" t="s">
        <v>100</v>
      </c>
      <c r="C29" s="88"/>
      <c r="D29" s="88"/>
      <c r="E29" s="107">
        <f>+S36</f>
        <v>81.860938000000004</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5239100.0320000006</v>
      </c>
      <c r="F30" s="2"/>
      <c r="G30" s="87" t="s">
        <v>103</v>
      </c>
      <c r="H30" s="88"/>
      <c r="I30" s="88"/>
      <c r="J30" s="156">
        <f>J28+J29</f>
        <v>2539564.1769999997</v>
      </c>
      <c r="K30" s="161">
        <f>K28+K29</f>
        <v>2539564.1769999997</v>
      </c>
      <c r="L30" s="162">
        <f>L28+L29</f>
        <v>2539564.1769999997</v>
      </c>
      <c r="M30" s="156">
        <f>M28+M29</f>
        <v>2539564.1769999997</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0.46093624418551671</v>
      </c>
      <c r="K31" s="173">
        <f>IF(ISERROR(K30/K10),"NA",K30/K10)</f>
        <v>0.46093624418551671</v>
      </c>
      <c r="L31" s="174">
        <f>IF(ISERROR(L30/L10),"NA",L30/L10)</f>
        <v>0.46093624418551671</v>
      </c>
      <c r="M31" s="172">
        <f>IF(ISERROR(M30/M10),"NA",M30/M10)</f>
        <v>0.46093624418551671</v>
      </c>
      <c r="N31" s="2"/>
      <c r="O31" s="88" t="s">
        <v>106</v>
      </c>
      <c r="P31" s="88"/>
      <c r="Q31" s="88"/>
      <c r="R31" s="88"/>
      <c r="S31" s="145">
        <v>81.860938000000004</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54900</v>
      </c>
      <c r="F33" s="2"/>
      <c r="G33" s="88" t="s">
        <v>110</v>
      </c>
      <c r="H33" s="88"/>
      <c r="I33" s="88"/>
      <c r="J33" s="175">
        <f>J15</f>
        <v>1538932.4249999996</v>
      </c>
      <c r="K33" s="183">
        <f>K15</f>
        <v>1538932.4249999996</v>
      </c>
      <c r="L33" s="184">
        <f>L15</f>
        <v>1538932.4249999996</v>
      </c>
      <c r="M33" s="175">
        <f>M15</f>
        <v>1538932.4249999996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-297407.96999999997</v>
      </c>
      <c r="F36" s="2"/>
      <c r="G36" s="87" t="s">
        <v>118</v>
      </c>
      <c r="H36" s="88"/>
      <c r="I36" s="88"/>
      <c r="J36" s="156">
        <f>SUM(J33:J35)</f>
        <v>1538932.4249999996</v>
      </c>
      <c r="K36" s="161">
        <f>SUM(K33:K35)</f>
        <v>1538932.4249999996</v>
      </c>
      <c r="L36" s="162">
        <f>SUM(L33:L35)</f>
        <v>1538932.4249999996</v>
      </c>
      <c r="M36" s="156">
        <f>SUM(M33:M35)</f>
        <v>1538932.4249999996</v>
      </c>
      <c r="N36" s="2"/>
      <c r="O36" s="87" t="s">
        <v>119</v>
      </c>
      <c r="P36" s="88"/>
      <c r="Q36" s="88"/>
      <c r="R36" s="88"/>
      <c r="S36" s="117">
        <f>+S31+SUM(S34:S35)</f>
        <v>81.860938000000004</v>
      </c>
      <c r="T36" s="2"/>
      <c r="U36" s="2"/>
      <c r="V36" s="2"/>
      <c r="W36" s="2"/>
      <c r="X36" s="2"/>
      <c r="Y36" s="2"/>
      <c r="Z36" s="2"/>
    </row>
    <row r="37" spans="1:26" ht="15" customHeight="1" x14ac:dyDescent="0.2">
      <c r="A37" s="2"/>
      <c r="B37" s="87" t="s">
        <v>120</v>
      </c>
      <c r="C37" s="88"/>
      <c r="D37" s="88"/>
      <c r="E37" s="186">
        <f>+E30+SUM(E33:E35)+E36</f>
        <v>4996592.0620000008</v>
      </c>
      <c r="F37" s="118"/>
      <c r="G37" s="94" t="s">
        <v>105</v>
      </c>
      <c r="H37" s="94"/>
      <c r="I37" s="94"/>
      <c r="J37" s="172">
        <f>IF(ISERROR(J36/J10),"NA",J36/J10)</f>
        <v>0.27931947475836888</v>
      </c>
      <c r="K37" s="173">
        <f>IF(ISERROR(K36/K10),"NA",K36/K10)</f>
        <v>0.27931947475836888</v>
      </c>
      <c r="L37" s="174">
        <f>IF(ISERROR(L36/L10),"NA",L36/L10)</f>
        <v>0.27931947475836888</v>
      </c>
      <c r="M37" s="172">
        <f>IF(ISERROR(M36/M10),"NA",M36/M10)</f>
        <v>0.27931947475836888</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92525.119999999995</v>
      </c>
      <c r="K39" s="120">
        <f>+K54</f>
        <v>92525.119999999995</v>
      </c>
      <c r="L39" s="121">
        <f>+L54</f>
        <v>92525.119999999995</v>
      </c>
      <c r="M39" s="119">
        <f>+M54</f>
        <v>92525.119999999995</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0.90689197762512275</v>
      </c>
      <c r="F40" s="2"/>
      <c r="G40" s="87" t="s">
        <v>128</v>
      </c>
      <c r="H40" s="88"/>
      <c r="I40" s="88"/>
      <c r="J40" s="156">
        <f>+J36+J39</f>
        <v>1631457.5449999995</v>
      </c>
      <c r="K40" s="161">
        <f>+K36+K39</f>
        <v>1631457.5449999995</v>
      </c>
      <c r="L40" s="162">
        <f>+L36+L39</f>
        <v>1631457.5449999995</v>
      </c>
      <c r="M40" s="156">
        <f>+M36+M39</f>
        <v>1631457.5449999995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5509577.9709999999</v>
      </c>
      <c r="F41" s="2"/>
      <c r="G41" s="94" t="s">
        <v>105</v>
      </c>
      <c r="H41" s="94"/>
      <c r="I41" s="94"/>
      <c r="J41" s="172">
        <f>IF(ISERROR(J40/J10),"NA",J40/J10)</f>
        <v>0.29611297881385396</v>
      </c>
      <c r="K41" s="173">
        <f>IF(ISERROR(K40/K10),"NA",K40/K10)</f>
        <v>0.29611297881385396</v>
      </c>
      <c r="L41" s="174">
        <f>IF(ISERROR(L40/L10),"NA",L40/L10)</f>
        <v>0.29611297881385396</v>
      </c>
      <c r="M41" s="172">
        <f>IF(ISERROR(M40/M10),"NA",M40/M10)</f>
        <v>0.29611297881385396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3.0626552785962948</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1631457.5449999995</v>
      </c>
      <c r="F43" s="2"/>
      <c r="G43" s="88" t="s">
        <v>137</v>
      </c>
      <c r="H43" s="88"/>
      <c r="I43" s="88"/>
      <c r="J43" s="175">
        <f>J21</f>
        <v>1228735.1729999995</v>
      </c>
      <c r="K43" s="183">
        <f>K21</f>
        <v>1228735.1729999995</v>
      </c>
      <c r="L43" s="184">
        <f>L21</f>
        <v>1228735.1729999995</v>
      </c>
      <c r="M43" s="175">
        <f>M21</f>
        <v>1228735.1729999995</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3.2467910746633351</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1538932.4249999996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4.2638154641643045</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15010.030461659253</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1228735.1729999995</v>
      </c>
      <c r="K48" s="170">
        <f>SUM(K43:K47)</f>
        <v>1228735.1729999995</v>
      </c>
      <c r="L48" s="171">
        <f>SUM(L43:L47)</f>
        <v>1228735.1729999995</v>
      </c>
      <c r="M48" s="169">
        <f>SUM(M43:M47)</f>
        <v>1228735.1729999995</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0.22301802052126715</v>
      </c>
      <c r="K49" s="173">
        <f>IF(ISERROR(K48/K10),"NA",K48/K10)</f>
        <v>0.22301802052126715</v>
      </c>
      <c r="L49" s="174">
        <f>IF(ISERROR(L48/L10),"NA",L48/L10)</f>
        <v>0.22301802052126715</v>
      </c>
      <c r="M49" s="172">
        <f>IF(ISERROR(M48/M10),"NA",M48/M10)</f>
        <v>0.22301802052126715</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52459.016393442616</v>
      </c>
      <c r="E51" s="172">
        <f>IF(ISERROR($E$27/D51-1),"NA",$E$27/D51-1)</f>
        <v>0.2200000000000002</v>
      </c>
      <c r="F51" s="2"/>
      <c r="G51" s="88" t="s">
        <v>157</v>
      </c>
      <c r="H51" s="88"/>
      <c r="I51" s="88"/>
      <c r="J51" s="102">
        <f>IF(ISERROR(J48/J24),0,J48/J24)</f>
        <v>15010.030461659253</v>
      </c>
      <c r="K51" s="103">
        <f>IF(ISERROR(K48/K24),0,K48/K24)</f>
        <v>15010.030461659253</v>
      </c>
      <c r="L51" s="104">
        <f>IF(ISERROR(L48/L24),0,L48/L24)</f>
        <v>15010.030461659253</v>
      </c>
      <c r="M51" s="102">
        <f>IF(ISERROR(M48/M24),0,M48/M24)</f>
        <v>15010.030461659253</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52459.016393442616</v>
      </c>
      <c r="E53" s="208">
        <v>0.125</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53422.370617696157</v>
      </c>
      <c r="E54" s="208">
        <v>9.6000000000000002E-2</v>
      </c>
      <c r="F54" s="2"/>
      <c r="G54" s="88" t="s">
        <v>123</v>
      </c>
      <c r="H54" s="88"/>
      <c r="I54" s="88"/>
      <c r="J54" s="157">
        <v>92525.119999999995</v>
      </c>
      <c r="K54" s="197">
        <v>92525.119999999995</v>
      </c>
      <c r="L54" s="198">
        <v>92525.119999999995</v>
      </c>
      <c r="M54" s="163">
        <f>J54+L54-K54</f>
        <v>92525.119999999995</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54935.622317596557</v>
      </c>
      <c r="E55" s="208">
        <v>7.6999999999999999E-2</v>
      </c>
      <c r="F55" s="2"/>
      <c r="G55" s="94" t="s">
        <v>166</v>
      </c>
      <c r="H55" s="94"/>
      <c r="I55" s="94"/>
      <c r="J55" s="199">
        <f>IF(ISERROR(J54/J10),"NA",J54/J10)</f>
        <v>1.6793504055485124E-2</v>
      </c>
      <c r="K55" s="200">
        <f>IF(ISERROR(K54/K10),"NA",K54/K10)</f>
        <v>1.6793504055485124E-2</v>
      </c>
      <c r="L55" s="201">
        <f>IF(ISERROR(L54/L10),"NA",L54/L10)</f>
        <v>1.6793504055485124E-2</v>
      </c>
      <c r="M55" s="199">
        <f>IF(ISERROR(M54/M10),"NA",M54/M10)</f>
        <v>1.6793504055485124E-2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125920.469</v>
      </c>
      <c r="K56" s="158">
        <v>125920.469</v>
      </c>
      <c r="L56" s="159">
        <v>125920.469</v>
      </c>
      <c r="M56" s="163">
        <f>J56+L56-K56</f>
        <v>125920.469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2.2854830199842906E-2</v>
      </c>
      <c r="K57" s="203">
        <f>IF(ISERROR(K56/K10),"NA",K56/K10)</f>
        <v>2.2854830199842906E-2</v>
      </c>
      <c r="L57" s="204">
        <f>IF(ISERROR(L56/L10),"NA",L56/L10)</f>
        <v>2.2854830199842906E-2</v>
      </c>
      <c r="M57" s="199">
        <f>IF(ISERROR(M56/M10),"NA",M56/M10)</f>
        <v>2.2854830199842906E-2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Công ty Cổ phần Nhựa Bình Minh 10-K</v>
      </c>
      <c r="C59" s="93"/>
      <c r="D59" s="134" t="s">
        <v>172</v>
      </c>
      <c r="E59" s="134">
        <v>43271</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Công ty Cổ phần Nhựa Bình Minh 10-Q</v>
      </c>
      <c r="C60" s="93"/>
      <c r="D60" s="134">
        <v>0</v>
      </c>
      <c r="E60" s="134">
        <v>0</v>
      </c>
      <c r="F60" s="2"/>
      <c r="G60" s="135" t="s">
        <v>184</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Công ty Cổ phần Nhựa Bình Minh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Công ty Cổ phần Nhựa Bình Minh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Nawaplastic Industries (SCG)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Nawaplastic Industries (SCG)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dataValidations count="2">
    <dataValidation type="list" allowBlank="1" showDropDown="1" showInputMessage="1" showErrorMessage="1" prompt=" - " sqref="U44" xr:uid="{00000000-0002-0000-0500-000000000000}">
      <formula1>$U$29</formula1>
    </dataValidation>
    <dataValidation type="list" allowBlank="1" showInputMessage="1" showErrorMessage="1" prompt=" - " sqref="U37" xr:uid="{00000000-0002-0000-0500-000001000000}">
      <formula1>$U$22</formula1>
    </dataValidation>
  </dataValidation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Prime Group by SCG</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185</v>
      </c>
      <c r="F7" s="2"/>
      <c r="G7" s="88"/>
      <c r="H7" s="88"/>
      <c r="I7" s="88"/>
      <c r="J7" s="88"/>
      <c r="K7" s="90" t="s">
        <v>57</v>
      </c>
      <c r="L7" s="90" t="s">
        <v>58</v>
      </c>
      <c r="M7" s="88"/>
      <c r="N7" s="2"/>
      <c r="O7" s="223" t="s">
        <v>186</v>
      </c>
      <c r="P7" s="216"/>
      <c r="Q7" s="216"/>
      <c r="R7" s="216"/>
      <c r="S7" s="216"/>
      <c r="T7" s="2"/>
      <c r="U7" s="2"/>
      <c r="V7" s="2"/>
      <c r="W7" s="2"/>
      <c r="X7" s="2"/>
      <c r="Y7" s="2"/>
      <c r="Z7" s="2"/>
    </row>
    <row r="8" spans="1:26" ht="12.75" customHeight="1" x14ac:dyDescent="0.2">
      <c r="A8" s="2"/>
      <c r="B8" s="88" t="s">
        <v>60</v>
      </c>
      <c r="C8" s="88"/>
      <c r="D8" s="88"/>
      <c r="E8" s="141" t="s">
        <v>187</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7341176.4705882352</v>
      </c>
      <c r="K10" s="154">
        <v>7341176.4705882352</v>
      </c>
      <c r="L10" s="155">
        <v>7341176.4705882352</v>
      </c>
      <c r="M10" s="156">
        <f>J10+L10-K10</f>
        <v>7341176.4705882352</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4771764.7058823537</v>
      </c>
      <c r="K11" s="158">
        <v>4771764.7058823537</v>
      </c>
      <c r="L11" s="159">
        <v>4771764.7058823537</v>
      </c>
      <c r="M11" s="160">
        <f>J11+L11-K11</f>
        <v>4771764.7058823537</v>
      </c>
      <c r="N11" s="2"/>
      <c r="O11" s="216"/>
      <c r="P11" s="216"/>
      <c r="Q11" s="216"/>
      <c r="R11" s="216"/>
      <c r="S11" s="216"/>
      <c r="T11" s="2"/>
      <c r="U11" s="2"/>
      <c r="V11" s="2"/>
      <c r="W11" s="2"/>
      <c r="X11" s="2"/>
      <c r="Y11" s="2"/>
      <c r="Z11" s="2"/>
    </row>
    <row r="12" spans="1:26" ht="12.75" customHeight="1" x14ac:dyDescent="0.2">
      <c r="A12" s="2"/>
      <c r="B12" s="87" t="s">
        <v>23</v>
      </c>
      <c r="C12" s="88"/>
      <c r="D12" s="89"/>
      <c r="E12" s="141" t="s">
        <v>69</v>
      </c>
      <c r="F12" s="2"/>
      <c r="G12" s="87" t="s">
        <v>68</v>
      </c>
      <c r="H12" s="88"/>
      <c r="I12" s="88"/>
      <c r="J12" s="156">
        <f>J10-SUM(J11)</f>
        <v>2569411.7647058815</v>
      </c>
      <c r="K12" s="161">
        <f>K10-SUM(K11)</f>
        <v>2569411.7647058815</v>
      </c>
      <c r="L12" s="162">
        <f>L10-SUM(L11)</f>
        <v>2569411.7647058815</v>
      </c>
      <c r="M12" s="156">
        <f>M10-SUM(M11)</f>
        <v>2569411.7647058815</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1957647.0588235289</v>
      </c>
      <c r="K13" s="158">
        <v>1957647.0588235289</v>
      </c>
      <c r="L13" s="159">
        <v>1957647.0588235289</v>
      </c>
      <c r="M13" s="163">
        <f>J13+L13-K13</f>
        <v>1957647.0588235289</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0</v>
      </c>
      <c r="K14" s="165">
        <v>0</v>
      </c>
      <c r="L14" s="166">
        <v>0</v>
      </c>
      <c r="M14" s="167">
        <f>J14+L14-K14</f>
        <v>0</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611764.70588235254</v>
      </c>
      <c r="K15" s="161">
        <f>K12-SUM(K13:K14)</f>
        <v>611764.70588235254</v>
      </c>
      <c r="L15" s="162">
        <f>L12-SUM(L13:L14)</f>
        <v>611764.70588235254</v>
      </c>
      <c r="M15" s="156">
        <f>M12-SUM(M13:M14)</f>
        <v>611764.70588235254</v>
      </c>
      <c r="N15" s="2"/>
      <c r="O15" s="223" t="s">
        <v>69</v>
      </c>
      <c r="P15" s="216"/>
      <c r="Q15" s="216"/>
      <c r="R15" s="216"/>
      <c r="S15" s="216"/>
      <c r="T15" s="2"/>
      <c r="U15" s="2"/>
      <c r="V15" s="2"/>
      <c r="W15" s="2"/>
      <c r="X15" s="2"/>
      <c r="Y15" s="2"/>
      <c r="Z15" s="2"/>
    </row>
    <row r="16" spans="1:26" ht="15" customHeight="1" x14ac:dyDescent="0.2">
      <c r="A16" s="2"/>
      <c r="B16" s="88" t="s">
        <v>74</v>
      </c>
      <c r="C16" s="88"/>
      <c r="D16" s="88"/>
      <c r="E16" s="143">
        <v>41261</v>
      </c>
      <c r="F16" s="2"/>
      <c r="G16" s="88" t="s">
        <v>75</v>
      </c>
      <c r="H16" s="93"/>
      <c r="I16" s="93"/>
      <c r="J16" s="157">
        <v>0</v>
      </c>
      <c r="K16" s="158">
        <v>0</v>
      </c>
      <c r="L16" s="159">
        <v>0</v>
      </c>
      <c r="M16" s="160">
        <f>J16+L16-K16</f>
        <v>0</v>
      </c>
      <c r="N16" s="2"/>
      <c r="O16" s="216"/>
      <c r="P16" s="216"/>
      <c r="Q16" s="216"/>
      <c r="R16" s="216"/>
      <c r="S16" s="216"/>
      <c r="T16" s="2"/>
      <c r="U16" s="2"/>
      <c r="V16" s="2"/>
      <c r="W16" s="2"/>
      <c r="X16" s="2"/>
      <c r="Y16" s="2"/>
      <c r="Z16" s="2"/>
    </row>
    <row r="17" spans="1:26" ht="12.75" customHeight="1" x14ac:dyDescent="0.2">
      <c r="A17" s="2"/>
      <c r="B17" s="88" t="s">
        <v>76</v>
      </c>
      <c r="C17" s="88"/>
      <c r="D17" s="88"/>
      <c r="E17" s="143">
        <v>41261</v>
      </c>
      <c r="F17" s="2"/>
      <c r="G17" s="87" t="s">
        <v>77</v>
      </c>
      <c r="H17" s="88"/>
      <c r="I17" s="88"/>
      <c r="J17" s="156">
        <f>J15-SUM(J16)</f>
        <v>611764.70588235254</v>
      </c>
      <c r="K17" s="161">
        <f>K15-SUM(K16)</f>
        <v>611764.70588235254</v>
      </c>
      <c r="L17" s="162">
        <f>L15-SUM(L16)</f>
        <v>611764.70588235254</v>
      </c>
      <c r="M17" s="156">
        <f>M15-SUM(M16)</f>
        <v>611764.70588235254</v>
      </c>
      <c r="N17" s="2"/>
      <c r="O17" s="216"/>
      <c r="P17" s="216"/>
      <c r="Q17" s="216"/>
      <c r="R17" s="216"/>
      <c r="S17" s="216"/>
      <c r="T17" s="2"/>
      <c r="U17" s="2"/>
      <c r="V17" s="2"/>
      <c r="W17" s="2"/>
      <c r="X17" s="2"/>
      <c r="Y17" s="2"/>
      <c r="Z17" s="2"/>
    </row>
    <row r="18" spans="1:26" ht="12.75" customHeight="1" x14ac:dyDescent="0.2">
      <c r="A18" s="2"/>
      <c r="B18" s="88" t="s">
        <v>78</v>
      </c>
      <c r="C18" s="88"/>
      <c r="D18" s="88"/>
      <c r="E18" s="141" t="s">
        <v>188</v>
      </c>
      <c r="F18" s="2"/>
      <c r="G18" s="88" t="s">
        <v>80</v>
      </c>
      <c r="H18" s="88"/>
      <c r="I18" s="88"/>
      <c r="J18" s="157">
        <v>122352.9411764706</v>
      </c>
      <c r="K18" s="158">
        <v>122352.9411764706</v>
      </c>
      <c r="L18" s="159">
        <v>122352.9411764706</v>
      </c>
      <c r="M18" s="163">
        <f>J18+L18-K18</f>
        <v>122352.9411764706</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489411.76470588194</v>
      </c>
      <c r="K21" s="170">
        <f>K17-SUM(K18:K20)</f>
        <v>489411.76470588194</v>
      </c>
      <c r="L21" s="171">
        <f>L17-SUM(L18:L20)</f>
        <v>489411.76470588194</v>
      </c>
      <c r="M21" s="169">
        <f>M17-SUM(M18:M20)</f>
        <v>489411.76470588194</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0.20000000000000015</v>
      </c>
      <c r="K22" s="173">
        <f>+IF(ISERROR(K18/K17),"NA",K18/K17)</f>
        <v>0.20000000000000015</v>
      </c>
      <c r="L22" s="174">
        <f>+IF(ISERROR(L18/L17),"NA",L18/L17)</f>
        <v>0.20000000000000015</v>
      </c>
      <c r="M22" s="172">
        <f>+IF(ISERROR(M18/M17),"NA",M18/M17)</f>
        <v>0.20000000000000015</v>
      </c>
      <c r="N22" s="2"/>
      <c r="O22" s="220" t="s">
        <v>89</v>
      </c>
      <c r="P22" s="216"/>
      <c r="Q22" s="216"/>
      <c r="R22" s="216"/>
      <c r="S22" s="216"/>
      <c r="T22" s="2"/>
      <c r="U22" s="2"/>
      <c r="V22" s="2"/>
      <c r="W22" s="2"/>
      <c r="X22" s="2"/>
      <c r="Y22" s="2"/>
      <c r="Z22" s="2"/>
    </row>
    <row r="23" spans="1:26" ht="12.75" customHeight="1" x14ac:dyDescent="0.2">
      <c r="A23" s="2"/>
      <c r="B23" s="88" t="s">
        <v>90</v>
      </c>
      <c r="C23" s="88"/>
      <c r="D23" s="88"/>
      <c r="E23" s="144">
        <v>7341176.4705882352</v>
      </c>
      <c r="F23" s="2"/>
      <c r="G23" s="88"/>
      <c r="H23" s="88"/>
      <c r="I23" s="88"/>
      <c r="J23" s="96"/>
      <c r="K23" s="97"/>
      <c r="L23" s="98"/>
      <c r="M23" s="96"/>
      <c r="N23" s="2"/>
      <c r="O23" s="223" t="s">
        <v>189</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1</v>
      </c>
      <c r="K24" s="158">
        <v>1</v>
      </c>
      <c r="L24" s="159">
        <v>1</v>
      </c>
      <c r="M24" s="163">
        <f>+IF(ISERROR(J24+L24-K24),"NA",J24+L24-K24)</f>
        <v>1</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489411.76470588194</v>
      </c>
      <c r="K25" s="103">
        <f>IF(ISERROR(K21/K24),"NA",K21/K24)</f>
        <v>489411.76470588194</v>
      </c>
      <c r="L25" s="104">
        <f>IF(ISERROR(L21/L24),"NA",L21/L24)</f>
        <v>489411.76470588194</v>
      </c>
      <c r="M25" s="102">
        <f>+IF(ISERROR(J25+L25-K25),"NA",J25+L25-K25)</f>
        <v>489411.76470588194</v>
      </c>
      <c r="N25" s="2"/>
      <c r="O25" s="216"/>
      <c r="P25" s="216"/>
      <c r="Q25" s="216"/>
      <c r="R25" s="216"/>
      <c r="S25" s="216"/>
      <c r="T25" s="2"/>
      <c r="U25" s="2"/>
      <c r="V25" s="2"/>
      <c r="W25" s="2"/>
      <c r="X25" s="2"/>
      <c r="Y25" s="2"/>
      <c r="Z25" s="2"/>
    </row>
    <row r="26" spans="1:26" ht="15" customHeight="1" x14ac:dyDescent="0.2">
      <c r="A26" s="2"/>
      <c r="B26" s="100" t="str">
        <f>""&amp;E12&amp;" Share Price"</f>
        <v>SCG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7341176.4705882352</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2569411.7647058815</v>
      </c>
      <c r="K28" s="176">
        <f>K12</f>
        <v>2569411.7647058815</v>
      </c>
      <c r="L28" s="177">
        <f>L12</f>
        <v>2569411.7647058815</v>
      </c>
      <c r="M28" s="175">
        <f>M12</f>
        <v>2569411.7647058815</v>
      </c>
      <c r="N28" s="2"/>
      <c r="O28" s="216"/>
      <c r="P28" s="216"/>
      <c r="Q28" s="216"/>
      <c r="R28" s="216"/>
      <c r="S28" s="216"/>
      <c r="T28" s="2"/>
      <c r="U28" s="2"/>
      <c r="V28" s="2"/>
      <c r="W28" s="2"/>
      <c r="X28" s="2"/>
      <c r="Y28" s="2"/>
      <c r="Z28" s="2"/>
    </row>
    <row r="29" spans="1:26" ht="15" customHeight="1" x14ac:dyDescent="0.2">
      <c r="A29" s="2"/>
      <c r="B29" s="88" t="s">
        <v>100</v>
      </c>
      <c r="C29" s="88"/>
      <c r="D29" s="88"/>
      <c r="E29" s="107">
        <f>+S36</f>
        <v>1</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7341176.4705882352</v>
      </c>
      <c r="F30" s="2"/>
      <c r="G30" s="87" t="s">
        <v>103</v>
      </c>
      <c r="H30" s="88"/>
      <c r="I30" s="88"/>
      <c r="J30" s="156">
        <f>J28+J29</f>
        <v>2569411.7647058815</v>
      </c>
      <c r="K30" s="161">
        <f>K28+K29</f>
        <v>2569411.7647058815</v>
      </c>
      <c r="L30" s="162">
        <f>L28+L29</f>
        <v>2569411.7647058815</v>
      </c>
      <c r="M30" s="156">
        <f>M28+M29</f>
        <v>2569411.7647058815</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0.34999999999999987</v>
      </c>
      <c r="K31" s="173">
        <f>IF(ISERROR(K30/K10),"NA",K30/K10)</f>
        <v>0.34999999999999987</v>
      </c>
      <c r="L31" s="174">
        <f>IF(ISERROR(L30/L10),"NA",L30/L10)</f>
        <v>0.34999999999999987</v>
      </c>
      <c r="M31" s="172">
        <f>IF(ISERROR(M30/M10),"NA",M30/M10)</f>
        <v>0.34999999999999987</v>
      </c>
      <c r="N31" s="2"/>
      <c r="O31" s="88" t="s">
        <v>106</v>
      </c>
      <c r="P31" s="88"/>
      <c r="Q31" s="88"/>
      <c r="R31" s="88"/>
      <c r="S31" s="145">
        <v>1</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0</v>
      </c>
      <c r="F33" s="2"/>
      <c r="G33" s="88" t="s">
        <v>110</v>
      </c>
      <c r="H33" s="88"/>
      <c r="I33" s="88"/>
      <c r="J33" s="175">
        <f>J15</f>
        <v>611764.70588235254</v>
      </c>
      <c r="K33" s="183">
        <f>K15</f>
        <v>611764.70588235254</v>
      </c>
      <c r="L33" s="184">
        <f>L15</f>
        <v>611764.70588235254</v>
      </c>
      <c r="M33" s="175">
        <f>M15</f>
        <v>611764.70588235254</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0</v>
      </c>
      <c r="F36" s="2"/>
      <c r="G36" s="87" t="s">
        <v>118</v>
      </c>
      <c r="H36" s="88"/>
      <c r="I36" s="88"/>
      <c r="J36" s="156">
        <f>SUM(J33:J35)</f>
        <v>611764.70588235254</v>
      </c>
      <c r="K36" s="161">
        <f>SUM(K33:K35)</f>
        <v>611764.70588235254</v>
      </c>
      <c r="L36" s="162">
        <f>SUM(L33:L35)</f>
        <v>611764.70588235254</v>
      </c>
      <c r="M36" s="156">
        <f>SUM(M33:M35)</f>
        <v>611764.70588235254</v>
      </c>
      <c r="N36" s="2"/>
      <c r="O36" s="87" t="s">
        <v>119</v>
      </c>
      <c r="P36" s="88"/>
      <c r="Q36" s="88"/>
      <c r="R36" s="88"/>
      <c r="S36" s="117">
        <f>+S31+SUM(S34:S35)</f>
        <v>1</v>
      </c>
      <c r="T36" s="2"/>
      <c r="U36" s="2"/>
      <c r="V36" s="2"/>
      <c r="W36" s="2"/>
      <c r="X36" s="2"/>
      <c r="Y36" s="2"/>
      <c r="Z36" s="2"/>
    </row>
    <row r="37" spans="1:26" ht="15" customHeight="1" x14ac:dyDescent="0.2">
      <c r="A37" s="2"/>
      <c r="B37" s="87" t="s">
        <v>120</v>
      </c>
      <c r="C37" s="88"/>
      <c r="D37" s="88"/>
      <c r="E37" s="186">
        <f>+E30+SUM(E33:E35)+E36</f>
        <v>7341176.4705882352</v>
      </c>
      <c r="F37" s="118"/>
      <c r="G37" s="94" t="s">
        <v>105</v>
      </c>
      <c r="H37" s="94"/>
      <c r="I37" s="94"/>
      <c r="J37" s="172">
        <f>IF(ISERROR(J36/J10),"NA",J36/J10)</f>
        <v>8.3333333333333287E-2</v>
      </c>
      <c r="K37" s="173">
        <f>IF(ISERROR(K36/K10),"NA",K36/K10)</f>
        <v>8.3333333333333287E-2</v>
      </c>
      <c r="L37" s="174">
        <f>IF(ISERROR(L36/L10),"NA",L36/L10)</f>
        <v>8.3333333333333287E-2</v>
      </c>
      <c r="M37" s="172">
        <f>IF(ISERROR(M36/M10),"NA",M36/M10)</f>
        <v>8.3333333333333287E-2</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203921.56862745099</v>
      </c>
      <c r="K39" s="120">
        <f>+K54</f>
        <v>203921.56862745099</v>
      </c>
      <c r="L39" s="121">
        <f>+L54</f>
        <v>203921.56862745099</v>
      </c>
      <c r="M39" s="119">
        <f>+M54</f>
        <v>203921.56862745099</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v>
      </c>
      <c r="F40" s="2"/>
      <c r="G40" s="87" t="s">
        <v>128</v>
      </c>
      <c r="H40" s="88"/>
      <c r="I40" s="88"/>
      <c r="J40" s="156">
        <f>+J36+J39</f>
        <v>815686.27450980351</v>
      </c>
      <c r="K40" s="161">
        <f>+K36+K39</f>
        <v>815686.27450980351</v>
      </c>
      <c r="L40" s="162">
        <f>+L36+L39</f>
        <v>815686.27450980351</v>
      </c>
      <c r="M40" s="156">
        <f>+M36+M39</f>
        <v>815686.27450980351</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7341176.4705882352</v>
      </c>
      <c r="F41" s="2"/>
      <c r="G41" s="94" t="s">
        <v>105</v>
      </c>
      <c r="H41" s="94"/>
      <c r="I41" s="94"/>
      <c r="J41" s="172">
        <f>IF(ISERROR(J40/J10),"NA",J40/J10)</f>
        <v>0.11111111111111106</v>
      </c>
      <c r="K41" s="173">
        <f>IF(ISERROR(K40/K10),"NA",K40/K10)</f>
        <v>0.11111111111111106</v>
      </c>
      <c r="L41" s="174">
        <f>IF(ISERROR(L40/L10),"NA",L40/L10)</f>
        <v>0.11111111111111106</v>
      </c>
      <c r="M41" s="172">
        <f>IF(ISERROR(M40/M10),"NA",M40/M10)</f>
        <v>0.11111111111111106</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9.0000000000000036</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815686.27450980351</v>
      </c>
      <c r="F43" s="2"/>
      <c r="G43" s="88" t="s">
        <v>137</v>
      </c>
      <c r="H43" s="88"/>
      <c r="I43" s="88"/>
      <c r="J43" s="175">
        <f>J21</f>
        <v>489411.76470588194</v>
      </c>
      <c r="K43" s="183">
        <f>K21</f>
        <v>489411.76470588194</v>
      </c>
      <c r="L43" s="184">
        <f>L21</f>
        <v>489411.76470588194</v>
      </c>
      <c r="M43" s="175">
        <f>M21</f>
        <v>489411.76470588194</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12.000000000000007</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611764.70588235254</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15.000000000000012</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489411.76470588194</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489411.76470588194</v>
      </c>
      <c r="K48" s="170">
        <f>SUM(K43:K47)</f>
        <v>489411.76470588194</v>
      </c>
      <c r="L48" s="171">
        <f>SUM(L43:L47)</f>
        <v>489411.76470588194</v>
      </c>
      <c r="M48" s="169">
        <f>SUM(M43:M47)</f>
        <v>489411.76470588194</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6.666666666666661E-2</v>
      </c>
      <c r="K49" s="173">
        <f>IF(ISERROR(K48/K10),"NA",K48/K10)</f>
        <v>6.666666666666661E-2</v>
      </c>
      <c r="L49" s="174">
        <f>IF(ISERROR(L48/L10),"NA",L48/L10)</f>
        <v>6.666666666666661E-2</v>
      </c>
      <c r="M49" s="172">
        <f>IF(ISERROR(M48/M10),"NA",M48/M10)</f>
        <v>6.666666666666661E-2</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5872941.176470588</v>
      </c>
      <c r="E51" s="172">
        <f>IF(ISERROR($E$27/D51-1),"NA",$E$27/D51-1)</f>
        <v>0.25</v>
      </c>
      <c r="F51" s="2"/>
      <c r="G51" s="88" t="s">
        <v>157</v>
      </c>
      <c r="H51" s="88"/>
      <c r="I51" s="88"/>
      <c r="J51" s="102">
        <f>IF(ISERROR(J48/J24),0,J48/J24)</f>
        <v>489411.76470588194</v>
      </c>
      <c r="K51" s="103">
        <f>IF(ISERROR(K48/K24),0,K48/K24)</f>
        <v>489411.76470588194</v>
      </c>
      <c r="L51" s="104">
        <f>IF(ISERROR(L48/L24),0,L48/L24)</f>
        <v>489411.76470588194</v>
      </c>
      <c r="M51" s="102">
        <f>IF(ISERROR(M48/M24),0,M48/M24)</f>
        <v>489411.76470588194</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5872941.176470588</v>
      </c>
      <c r="E53" s="208">
        <v>0.13</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5992797.1188475387</v>
      </c>
      <c r="E54" s="208">
        <v>0.1</v>
      </c>
      <c r="F54" s="2"/>
      <c r="G54" s="88" t="s">
        <v>123</v>
      </c>
      <c r="H54" s="88"/>
      <c r="I54" s="88"/>
      <c r="J54" s="157">
        <v>203921.56862745099</v>
      </c>
      <c r="K54" s="197">
        <v>203921.56862745099</v>
      </c>
      <c r="L54" s="198">
        <v>203921.56862745099</v>
      </c>
      <c r="M54" s="163">
        <f>J54+L54-K54</f>
        <v>203921.56862745099</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6182043.3436532496</v>
      </c>
      <c r="E55" s="208">
        <v>0.08</v>
      </c>
      <c r="F55" s="2"/>
      <c r="G55" s="94" t="s">
        <v>166</v>
      </c>
      <c r="H55" s="94"/>
      <c r="I55" s="94"/>
      <c r="J55" s="199">
        <f>IF(ISERROR(J54/J10),"NA",J54/J10)</f>
        <v>2.777777777777778E-2</v>
      </c>
      <c r="K55" s="200">
        <f>IF(ISERROR(K54/K10),"NA",K54/K10)</f>
        <v>2.777777777777778E-2</v>
      </c>
      <c r="L55" s="201">
        <f>IF(ISERROR(L54/L10),"NA",L54/L10)</f>
        <v>2.777777777777778E-2</v>
      </c>
      <c r="M55" s="199">
        <f>IF(ISERROR(M54/M10),"NA",M54/M10)</f>
        <v>2.777777777777778E-2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183529.4117647059</v>
      </c>
      <c r="K56" s="158">
        <v>183529.4117647059</v>
      </c>
      <c r="L56" s="159">
        <v>183529.4117647059</v>
      </c>
      <c r="M56" s="163">
        <f>J56+L56-K56</f>
        <v>183529.4117647059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2.5000000000000005E-2</v>
      </c>
      <c r="K57" s="203">
        <f>IF(ISERROR(K56/K10),"NA",K56/K10)</f>
        <v>2.5000000000000005E-2</v>
      </c>
      <c r="L57" s="204">
        <f>IF(ISERROR(L56/L10),"NA",L56/L10)</f>
        <v>2.5000000000000005E-2</v>
      </c>
      <c r="M57" s="199">
        <f>IF(ISERROR(M56/M10),"NA",M56/M10)</f>
        <v>2.5000000000000005E-2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Prime Group 10-K</v>
      </c>
      <c r="C59" s="93"/>
      <c r="D59" s="134" t="s">
        <v>172</v>
      </c>
      <c r="E59" s="134">
        <v>41261</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Prime Group 10-Q</v>
      </c>
      <c r="C60" s="93"/>
      <c r="D60" s="134">
        <v>0</v>
      </c>
      <c r="E60" s="134">
        <v>0</v>
      </c>
      <c r="F60" s="2"/>
      <c r="G60" s="135" t="s">
        <v>190</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Prime Group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Prime Group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SCG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SCG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Vietnam Construction Materials by SCG Cement-Building Materials</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191</v>
      </c>
      <c r="F7" s="2"/>
      <c r="G7" s="88"/>
      <c r="H7" s="88"/>
      <c r="I7" s="88"/>
      <c r="J7" s="88"/>
      <c r="K7" s="90" t="s">
        <v>57</v>
      </c>
      <c r="L7" s="90" t="s">
        <v>58</v>
      </c>
      <c r="M7" s="88"/>
      <c r="N7" s="2"/>
      <c r="O7" s="223" t="s">
        <v>192</v>
      </c>
      <c r="P7" s="216"/>
      <c r="Q7" s="216"/>
      <c r="R7" s="216"/>
      <c r="S7" s="216"/>
      <c r="T7" s="2"/>
      <c r="U7" s="2"/>
      <c r="V7" s="2"/>
      <c r="W7" s="2"/>
      <c r="X7" s="2"/>
      <c r="Y7" s="2"/>
      <c r="Z7" s="2"/>
    </row>
    <row r="8" spans="1:26" ht="12.75" customHeight="1" x14ac:dyDescent="0.2">
      <c r="A8" s="2"/>
      <c r="B8" s="88" t="s">
        <v>60</v>
      </c>
      <c r="C8" s="88"/>
      <c r="D8" s="88"/>
      <c r="E8" s="141" t="s">
        <v>193</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7626666.666666667</v>
      </c>
      <c r="K10" s="154">
        <v>7626666.666666667</v>
      </c>
      <c r="L10" s="155">
        <v>7626666.666666667</v>
      </c>
      <c r="M10" s="156">
        <f>J10+L10-K10</f>
        <v>7626666.666666667</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4957333.333333334</v>
      </c>
      <c r="K11" s="158">
        <v>4957333.333333334</v>
      </c>
      <c r="L11" s="159">
        <v>4957333.333333334</v>
      </c>
      <c r="M11" s="160">
        <f>J11+L11-K11</f>
        <v>4957333.333333334</v>
      </c>
      <c r="N11" s="2"/>
      <c r="O11" s="216"/>
      <c r="P11" s="216"/>
      <c r="Q11" s="216"/>
      <c r="R11" s="216"/>
      <c r="S11" s="216"/>
      <c r="T11" s="2"/>
      <c r="U11" s="2"/>
      <c r="V11" s="2"/>
      <c r="W11" s="2"/>
      <c r="X11" s="2"/>
      <c r="Y11" s="2"/>
      <c r="Z11" s="2"/>
    </row>
    <row r="12" spans="1:26" ht="12.75" customHeight="1" x14ac:dyDescent="0.2">
      <c r="A12" s="2"/>
      <c r="B12" s="87" t="s">
        <v>23</v>
      </c>
      <c r="C12" s="88"/>
      <c r="D12" s="89"/>
      <c r="E12" s="141" t="s">
        <v>194</v>
      </c>
      <c r="F12" s="2"/>
      <c r="G12" s="87" t="s">
        <v>68</v>
      </c>
      <c r="H12" s="88"/>
      <c r="I12" s="88"/>
      <c r="J12" s="156">
        <f>J10-SUM(J11)</f>
        <v>2669333.333333333</v>
      </c>
      <c r="K12" s="161">
        <f>K10-SUM(K11)</f>
        <v>2669333.333333333</v>
      </c>
      <c r="L12" s="162">
        <f>L10-SUM(L11)</f>
        <v>2669333.333333333</v>
      </c>
      <c r="M12" s="156">
        <f>M10-SUM(M11)</f>
        <v>2669333.333333333</v>
      </c>
      <c r="N12" s="2"/>
      <c r="O12" s="216"/>
      <c r="P12" s="216"/>
      <c r="Q12" s="216"/>
      <c r="R12" s="216"/>
      <c r="S12" s="216"/>
      <c r="T12" s="2"/>
      <c r="U12" s="2"/>
      <c r="V12" s="2"/>
      <c r="W12" s="2"/>
      <c r="X12" s="2"/>
      <c r="Y12" s="2"/>
      <c r="Z12" s="2"/>
    </row>
    <row r="13" spans="1:26" ht="12.75" customHeight="1" x14ac:dyDescent="0.2">
      <c r="A13" s="2"/>
      <c r="B13" s="88" t="s">
        <v>60</v>
      </c>
      <c r="C13" s="88"/>
      <c r="D13" s="88"/>
      <c r="E13" s="141" t="s">
        <v>69</v>
      </c>
      <c r="F13" s="2"/>
      <c r="G13" s="88" t="s">
        <v>70</v>
      </c>
      <c r="H13" s="93"/>
      <c r="I13" s="93"/>
      <c r="J13" s="157">
        <v>1716000</v>
      </c>
      <c r="K13" s="158">
        <v>1716000</v>
      </c>
      <c r="L13" s="159">
        <v>1716000</v>
      </c>
      <c r="M13" s="163">
        <f>J13+L13-K13</f>
        <v>1716000</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0</v>
      </c>
      <c r="K14" s="165">
        <v>0</v>
      </c>
      <c r="L14" s="166">
        <v>0</v>
      </c>
      <c r="M14" s="167">
        <f>J14+L14-K14</f>
        <v>0</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953333.33333333302</v>
      </c>
      <c r="K15" s="161">
        <f>K12-SUM(K13:K14)</f>
        <v>953333.33333333302</v>
      </c>
      <c r="L15" s="162">
        <f>L12-SUM(L13:L14)</f>
        <v>953333.33333333302</v>
      </c>
      <c r="M15" s="156">
        <f>M12-SUM(M13:M14)</f>
        <v>953333.33333333302</v>
      </c>
      <c r="N15" s="2"/>
      <c r="O15" s="223" t="s">
        <v>194</v>
      </c>
      <c r="P15" s="216"/>
      <c r="Q15" s="216"/>
      <c r="R15" s="216"/>
      <c r="S15" s="216"/>
      <c r="T15" s="2"/>
      <c r="U15" s="2"/>
      <c r="V15" s="2"/>
      <c r="W15" s="2"/>
      <c r="X15" s="2"/>
      <c r="Y15" s="2"/>
      <c r="Z15" s="2"/>
    </row>
    <row r="16" spans="1:26" ht="15" customHeight="1" x14ac:dyDescent="0.2">
      <c r="A16" s="2"/>
      <c r="B16" s="88" t="s">
        <v>74</v>
      </c>
      <c r="C16" s="88"/>
      <c r="D16" s="88"/>
      <c r="E16" s="143">
        <v>42794</v>
      </c>
      <c r="F16" s="2"/>
      <c r="G16" s="88" t="s">
        <v>75</v>
      </c>
      <c r="H16" s="93"/>
      <c r="I16" s="93"/>
      <c r="J16" s="157">
        <v>0</v>
      </c>
      <c r="K16" s="158">
        <v>0</v>
      </c>
      <c r="L16" s="159">
        <v>0</v>
      </c>
      <c r="M16" s="160">
        <f>J16+L16-K16</f>
        <v>0</v>
      </c>
      <c r="N16" s="2"/>
      <c r="O16" s="216"/>
      <c r="P16" s="216"/>
      <c r="Q16" s="216"/>
      <c r="R16" s="216"/>
      <c r="S16" s="216"/>
      <c r="T16" s="2"/>
      <c r="U16" s="2"/>
      <c r="V16" s="2"/>
      <c r="W16" s="2"/>
      <c r="X16" s="2"/>
      <c r="Y16" s="2"/>
      <c r="Z16" s="2"/>
    </row>
    <row r="17" spans="1:26" ht="12.75" customHeight="1" x14ac:dyDescent="0.2">
      <c r="A17" s="2"/>
      <c r="B17" s="88" t="s">
        <v>76</v>
      </c>
      <c r="C17" s="88"/>
      <c r="D17" s="88"/>
      <c r="E17" s="143">
        <v>42794</v>
      </c>
      <c r="F17" s="2"/>
      <c r="G17" s="87" t="s">
        <v>77</v>
      </c>
      <c r="H17" s="88"/>
      <c r="I17" s="88"/>
      <c r="J17" s="156">
        <f>J15-SUM(J16)</f>
        <v>953333.33333333302</v>
      </c>
      <c r="K17" s="161">
        <f>K15-SUM(K16)</f>
        <v>953333.33333333302</v>
      </c>
      <c r="L17" s="162">
        <f>L15-SUM(L16)</f>
        <v>953333.33333333302</v>
      </c>
      <c r="M17" s="156">
        <f>M15-SUM(M16)</f>
        <v>953333.33333333302</v>
      </c>
      <c r="N17" s="2"/>
      <c r="O17" s="216"/>
      <c r="P17" s="216"/>
      <c r="Q17" s="216"/>
      <c r="R17" s="216"/>
      <c r="S17" s="216"/>
      <c r="T17" s="2"/>
      <c r="U17" s="2"/>
      <c r="V17" s="2"/>
      <c r="W17" s="2"/>
      <c r="X17" s="2"/>
      <c r="Y17" s="2"/>
      <c r="Z17" s="2"/>
    </row>
    <row r="18" spans="1:26" ht="12.75" customHeight="1" x14ac:dyDescent="0.2">
      <c r="A18" s="2"/>
      <c r="B18" s="88" t="s">
        <v>78</v>
      </c>
      <c r="C18" s="88"/>
      <c r="D18" s="88"/>
      <c r="E18" s="141" t="s">
        <v>195</v>
      </c>
      <c r="F18" s="2"/>
      <c r="G18" s="88" t="s">
        <v>80</v>
      </c>
      <c r="H18" s="88"/>
      <c r="I18" s="88"/>
      <c r="J18" s="157">
        <v>190666.66666666669</v>
      </c>
      <c r="K18" s="158">
        <v>190666.66666666669</v>
      </c>
      <c r="L18" s="159">
        <v>190666.66666666669</v>
      </c>
      <c r="M18" s="163">
        <f>J18+L18-K18</f>
        <v>190666.66666666669</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762666.66666666628</v>
      </c>
      <c r="K21" s="170">
        <f>K17-SUM(K18:K20)</f>
        <v>762666.66666666628</v>
      </c>
      <c r="L21" s="171">
        <f>L17-SUM(L18:L20)</f>
        <v>762666.66666666628</v>
      </c>
      <c r="M21" s="169">
        <f>M17-SUM(M18:M20)</f>
        <v>762666.66666666628</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0.20000000000000009</v>
      </c>
      <c r="K22" s="173">
        <f>+IF(ISERROR(K18/K17),"NA",K18/K17)</f>
        <v>0.20000000000000009</v>
      </c>
      <c r="L22" s="174">
        <f>+IF(ISERROR(L18/L17),"NA",L18/L17)</f>
        <v>0.20000000000000009</v>
      </c>
      <c r="M22" s="172">
        <f>+IF(ISERROR(M18/M17),"NA",M18/M17)</f>
        <v>0.20000000000000009</v>
      </c>
      <c r="N22" s="2"/>
      <c r="O22" s="220" t="s">
        <v>89</v>
      </c>
      <c r="P22" s="216"/>
      <c r="Q22" s="216"/>
      <c r="R22" s="216"/>
      <c r="S22" s="216"/>
      <c r="T22" s="2"/>
      <c r="U22" s="2"/>
      <c r="V22" s="2"/>
      <c r="W22" s="2"/>
      <c r="X22" s="2"/>
      <c r="Y22" s="2"/>
      <c r="Z22" s="2"/>
    </row>
    <row r="23" spans="1:26" ht="12.75" customHeight="1" x14ac:dyDescent="0.2">
      <c r="A23" s="2"/>
      <c r="B23" s="88" t="s">
        <v>90</v>
      </c>
      <c r="C23" s="88"/>
      <c r="D23" s="88"/>
      <c r="E23" s="144">
        <v>11440000</v>
      </c>
      <c r="F23" s="2"/>
      <c r="G23" s="88"/>
      <c r="H23" s="88"/>
      <c r="I23" s="88"/>
      <c r="J23" s="96"/>
      <c r="K23" s="97"/>
      <c r="L23" s="98"/>
      <c r="M23" s="96"/>
      <c r="N23" s="2"/>
      <c r="O23" s="223" t="s">
        <v>196</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1</v>
      </c>
      <c r="K24" s="158">
        <v>1</v>
      </c>
      <c r="L24" s="159">
        <v>1</v>
      </c>
      <c r="M24" s="163">
        <f>+IF(ISERROR(J24+L24-K24),"NA",J24+L24-K24)</f>
        <v>1</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762666.66666666628</v>
      </c>
      <c r="K25" s="103">
        <f>IF(ISERROR(K21/K24),"NA",K21/K24)</f>
        <v>762666.66666666628</v>
      </c>
      <c r="L25" s="104">
        <f>IF(ISERROR(L21/L24),"NA",L21/L24)</f>
        <v>762666.66666666628</v>
      </c>
      <c r="M25" s="102">
        <f>+IF(ISERROR(J25+L25-K25),"NA",J25+L25-K25)</f>
        <v>762666.66666666628</v>
      </c>
      <c r="N25" s="2"/>
      <c r="O25" s="216"/>
      <c r="P25" s="216"/>
      <c r="Q25" s="216"/>
      <c r="R25" s="216"/>
      <c r="S25" s="216"/>
      <c r="T25" s="2"/>
      <c r="U25" s="2"/>
      <c r="V25" s="2"/>
      <c r="W25" s="2"/>
      <c r="X25" s="2"/>
      <c r="Y25" s="2"/>
      <c r="Z25" s="2"/>
    </row>
    <row r="26" spans="1:26" ht="15" customHeight="1" x14ac:dyDescent="0.2">
      <c r="A26" s="2"/>
      <c r="B26" s="100" t="str">
        <f>""&amp;E12&amp;" Share Price"</f>
        <v>SCG Cement-Building Materials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11440000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2669333.333333333</v>
      </c>
      <c r="K28" s="176">
        <f>K12</f>
        <v>2669333.333333333</v>
      </c>
      <c r="L28" s="177">
        <f>L12</f>
        <v>2669333.333333333</v>
      </c>
      <c r="M28" s="175">
        <f>M12</f>
        <v>2669333.333333333</v>
      </c>
      <c r="N28" s="2"/>
      <c r="O28" s="216"/>
      <c r="P28" s="216"/>
      <c r="Q28" s="216"/>
      <c r="R28" s="216"/>
      <c r="S28" s="216"/>
      <c r="T28" s="2"/>
      <c r="U28" s="2"/>
      <c r="V28" s="2"/>
      <c r="W28" s="2"/>
      <c r="X28" s="2"/>
      <c r="Y28" s="2"/>
      <c r="Z28" s="2"/>
    </row>
    <row r="29" spans="1:26" ht="15" customHeight="1" x14ac:dyDescent="0.2">
      <c r="A29" s="2"/>
      <c r="B29" s="88" t="s">
        <v>100</v>
      </c>
      <c r="C29" s="88"/>
      <c r="D29" s="88"/>
      <c r="E29" s="107">
        <f>+S36</f>
        <v>1</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11440000</v>
      </c>
      <c r="F30" s="2"/>
      <c r="G30" s="87" t="s">
        <v>103</v>
      </c>
      <c r="H30" s="88"/>
      <c r="I30" s="88"/>
      <c r="J30" s="156">
        <f>J28+J29</f>
        <v>2669333.333333333</v>
      </c>
      <c r="K30" s="161">
        <f>K28+K29</f>
        <v>2669333.333333333</v>
      </c>
      <c r="L30" s="162">
        <f>L28+L29</f>
        <v>2669333.333333333</v>
      </c>
      <c r="M30" s="156">
        <f>M28+M29</f>
        <v>2669333.333333333</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0.34999999999999992</v>
      </c>
      <c r="K31" s="173">
        <f>IF(ISERROR(K30/K10),"NA",K30/K10)</f>
        <v>0.34999999999999992</v>
      </c>
      <c r="L31" s="174">
        <f>IF(ISERROR(L30/L10),"NA",L30/L10)</f>
        <v>0.34999999999999992</v>
      </c>
      <c r="M31" s="172">
        <f>IF(ISERROR(M30/M10),"NA",M30/M10)</f>
        <v>0.34999999999999992</v>
      </c>
      <c r="N31" s="2"/>
      <c r="O31" s="88" t="s">
        <v>106</v>
      </c>
      <c r="P31" s="88"/>
      <c r="Q31" s="88"/>
      <c r="R31" s="88"/>
      <c r="S31" s="145">
        <v>1</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0</v>
      </c>
      <c r="F33" s="2"/>
      <c r="G33" s="88" t="s">
        <v>110</v>
      </c>
      <c r="H33" s="88"/>
      <c r="I33" s="88"/>
      <c r="J33" s="175">
        <f>J15</f>
        <v>953333.33333333302</v>
      </c>
      <c r="K33" s="183">
        <f>K15</f>
        <v>953333.33333333302</v>
      </c>
      <c r="L33" s="184">
        <f>L15</f>
        <v>953333.33333333302</v>
      </c>
      <c r="M33" s="175">
        <f>M15</f>
        <v>953333.33333333302</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0</v>
      </c>
      <c r="F36" s="2"/>
      <c r="G36" s="87" t="s">
        <v>118</v>
      </c>
      <c r="H36" s="88"/>
      <c r="I36" s="88"/>
      <c r="J36" s="156">
        <f>SUM(J33:J35)</f>
        <v>953333.33333333302</v>
      </c>
      <c r="K36" s="161">
        <f>SUM(K33:K35)</f>
        <v>953333.33333333302</v>
      </c>
      <c r="L36" s="162">
        <f>SUM(L33:L35)</f>
        <v>953333.33333333302</v>
      </c>
      <c r="M36" s="156">
        <f>SUM(M33:M35)</f>
        <v>953333.33333333302</v>
      </c>
      <c r="N36" s="2"/>
      <c r="O36" s="87" t="s">
        <v>119</v>
      </c>
      <c r="P36" s="88"/>
      <c r="Q36" s="88"/>
      <c r="R36" s="88"/>
      <c r="S36" s="117">
        <f>+S31+SUM(S34:S35)</f>
        <v>1</v>
      </c>
      <c r="T36" s="2"/>
      <c r="U36" s="2"/>
      <c r="V36" s="2"/>
      <c r="W36" s="2"/>
      <c r="X36" s="2"/>
      <c r="Y36" s="2"/>
      <c r="Z36" s="2"/>
    </row>
    <row r="37" spans="1:26" ht="15" customHeight="1" x14ac:dyDescent="0.2">
      <c r="A37" s="2"/>
      <c r="B37" s="87" t="s">
        <v>120</v>
      </c>
      <c r="C37" s="88"/>
      <c r="D37" s="88"/>
      <c r="E37" s="186">
        <f>+E30+SUM(E33:E35)+E36</f>
        <v>11440000</v>
      </c>
      <c r="F37" s="118"/>
      <c r="G37" s="94" t="s">
        <v>105</v>
      </c>
      <c r="H37" s="94"/>
      <c r="I37" s="94"/>
      <c r="J37" s="172">
        <f>IF(ISERROR(J36/J10),"NA",J36/J10)</f>
        <v>0.12499999999999996</v>
      </c>
      <c r="K37" s="173">
        <f>IF(ISERROR(K36/K10),"NA",K36/K10)</f>
        <v>0.12499999999999996</v>
      </c>
      <c r="L37" s="174">
        <f>IF(ISERROR(L36/L10),"NA",L36/L10)</f>
        <v>0.12499999999999996</v>
      </c>
      <c r="M37" s="172">
        <f>IF(ISERROR(M36/M10),"NA",M36/M10)</f>
        <v>0.12499999999999996</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317777.77777777758</v>
      </c>
      <c r="K39" s="120">
        <f>+K54</f>
        <v>317777.77777777758</v>
      </c>
      <c r="L39" s="121">
        <f>+L54</f>
        <v>317777.77777777758</v>
      </c>
      <c r="M39" s="119">
        <f>+M54</f>
        <v>317777.77777777758</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1.5</v>
      </c>
      <c r="F40" s="2"/>
      <c r="G40" s="87" t="s">
        <v>128</v>
      </c>
      <c r="H40" s="88"/>
      <c r="I40" s="88"/>
      <c r="J40" s="156">
        <f>+J36+J39</f>
        <v>1271111.1111111105</v>
      </c>
      <c r="K40" s="161">
        <f>+K36+K39</f>
        <v>1271111.1111111105</v>
      </c>
      <c r="L40" s="162">
        <f>+L36+L39</f>
        <v>1271111.1111111105</v>
      </c>
      <c r="M40" s="156">
        <f>+M36+M39</f>
        <v>1271111.1111111105</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7626666.666666667</v>
      </c>
      <c r="F41" s="2"/>
      <c r="G41" s="94" t="s">
        <v>105</v>
      </c>
      <c r="H41" s="94"/>
      <c r="I41" s="94"/>
      <c r="J41" s="172">
        <f>IF(ISERROR(J40/J10),"NA",J40/J10)</f>
        <v>0.16666666666666657</v>
      </c>
      <c r="K41" s="173">
        <f>IF(ISERROR(K40/K10),"NA",K40/K10)</f>
        <v>0.16666666666666657</v>
      </c>
      <c r="L41" s="174">
        <f>IF(ISERROR(L40/L10),"NA",L40/L10)</f>
        <v>0.16666666666666657</v>
      </c>
      <c r="M41" s="172">
        <f>IF(ISERROR(M40/M10),"NA",M40/M10)</f>
        <v>0.16666666666666657</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9.0000000000000036</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1271111.1111111105</v>
      </c>
      <c r="F43" s="2"/>
      <c r="G43" s="88" t="s">
        <v>137</v>
      </c>
      <c r="H43" s="88"/>
      <c r="I43" s="88"/>
      <c r="J43" s="175">
        <f>J21</f>
        <v>762666.66666666628</v>
      </c>
      <c r="K43" s="183">
        <f>K21</f>
        <v>762666.66666666628</v>
      </c>
      <c r="L43" s="184">
        <f>L21</f>
        <v>762666.66666666628</v>
      </c>
      <c r="M43" s="175">
        <f>M21</f>
        <v>762666.66666666628</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12.000000000000004</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953333.33333333302</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15.000000000000007</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762666.66666666628</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762666.66666666628</v>
      </c>
      <c r="K48" s="170">
        <f>SUM(K43:K47)</f>
        <v>762666.66666666628</v>
      </c>
      <c r="L48" s="171">
        <f>SUM(L43:L47)</f>
        <v>762666.66666666628</v>
      </c>
      <c r="M48" s="169">
        <f>SUM(M43:M47)</f>
        <v>762666.66666666628</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9.999999999999995E-2</v>
      </c>
      <c r="K49" s="173">
        <f>IF(ISERROR(K48/K10),"NA",K48/K10)</f>
        <v>9.999999999999995E-2</v>
      </c>
      <c r="L49" s="174">
        <f>IF(ISERROR(L48/L10),"NA",L48/L10)</f>
        <v>9.999999999999995E-2</v>
      </c>
      <c r="M49" s="172">
        <f>IF(ISERROR(M48/M10),"NA",M48/M10)</f>
        <v>9.999999999999995E-2</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9533333.333333334</v>
      </c>
      <c r="E51" s="172">
        <f>IF(ISERROR($E$27/D51-1),"NA",$E$27/D51-1)</f>
        <v>0.19999999999999996</v>
      </c>
      <c r="F51" s="2"/>
      <c r="G51" s="88" t="s">
        <v>157</v>
      </c>
      <c r="H51" s="88"/>
      <c r="I51" s="88"/>
      <c r="J51" s="102">
        <f>IF(ISERROR(J48/J24),0,J48/J24)</f>
        <v>762666.66666666628</v>
      </c>
      <c r="K51" s="103">
        <f>IF(ISERROR(K48/K24),0,K48/K24)</f>
        <v>762666.66666666628</v>
      </c>
      <c r="L51" s="104">
        <f>IF(ISERROR(L48/L24),0,L48/L24)</f>
        <v>762666.66666666628</v>
      </c>
      <c r="M51" s="102">
        <f>IF(ISERROR(M48/M24),0,M48/M24)</f>
        <v>762666.66666666628</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9533333.333333334</v>
      </c>
      <c r="E53" s="208">
        <v>0.13</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9694915.2542372886</v>
      </c>
      <c r="E54" s="208">
        <v>0.1</v>
      </c>
      <c r="F54" s="2"/>
      <c r="G54" s="88" t="s">
        <v>123</v>
      </c>
      <c r="H54" s="88"/>
      <c r="I54" s="88"/>
      <c r="J54" s="157">
        <v>317777.77777777758</v>
      </c>
      <c r="K54" s="197">
        <v>317777.77777777758</v>
      </c>
      <c r="L54" s="198">
        <v>317777.77777777758</v>
      </c>
      <c r="M54" s="163">
        <f>J54+L54-K54</f>
        <v>317777.77777777758</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9947826.0869565234</v>
      </c>
      <c r="E55" s="208">
        <v>0.08</v>
      </c>
      <c r="F55" s="2"/>
      <c r="G55" s="94" t="s">
        <v>166</v>
      </c>
      <c r="H55" s="94"/>
      <c r="I55" s="94"/>
      <c r="J55" s="199">
        <f>IF(ISERROR(J54/J10),"NA",J54/J10)</f>
        <v>4.1666666666666637E-2</v>
      </c>
      <c r="K55" s="200">
        <f>IF(ISERROR(K54/K10),"NA",K54/K10)</f>
        <v>4.1666666666666637E-2</v>
      </c>
      <c r="L55" s="201">
        <f>IF(ISERROR(L54/L10),"NA",L54/L10)</f>
        <v>4.1666666666666637E-2</v>
      </c>
      <c r="M55" s="199">
        <f>IF(ISERROR(M54/M10),"NA",M54/M10)</f>
        <v>4.1666666666666637E-2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190666.66666666669</v>
      </c>
      <c r="K56" s="158">
        <v>190666.66666666669</v>
      </c>
      <c r="L56" s="159">
        <v>190666.66666666669</v>
      </c>
      <c r="M56" s="163">
        <f>J56+L56-K56</f>
        <v>190666.66666666669</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2.5000000000000001E-2</v>
      </c>
      <c r="K57" s="203">
        <f>IF(ISERROR(K56/K10),"NA",K56/K10)</f>
        <v>2.5000000000000001E-2</v>
      </c>
      <c r="L57" s="204">
        <f>IF(ISERROR(L56/L10),"NA",L56/L10)</f>
        <v>2.5000000000000001E-2</v>
      </c>
      <c r="M57" s="199">
        <f>IF(ISERROR(M56/M10),"NA",M56/M10)</f>
        <v>2.5000000000000001E-2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Vietnam Construction Materials 10-K</v>
      </c>
      <c r="C59" s="93"/>
      <c r="D59" s="134" t="s">
        <v>172</v>
      </c>
      <c r="E59" s="134">
        <v>42794</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Vietnam Construction Materials 10-Q</v>
      </c>
      <c r="C60" s="93"/>
      <c r="D60" s="134">
        <v>0</v>
      </c>
      <c r="E60" s="134">
        <v>0</v>
      </c>
      <c r="F60" s="2"/>
      <c r="G60" s="135" t="s">
        <v>197</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Vietnam Construction Materials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Vietnam Construction Materials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SCG Cement-Building Materials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SCG Cement-Building Materials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defaultColWidth="12.5703125" defaultRowHeight="15" customHeight="1" x14ac:dyDescent="0.2"/>
  <cols>
    <col min="1" max="1" width="0.85546875" style="147" customWidth="1"/>
    <col min="2" max="5" width="12.7109375" style="147" customWidth="1"/>
    <col min="6" max="6" width="8.7109375" style="147" customWidth="1"/>
    <col min="7" max="13" width="12.7109375" style="147" customWidth="1"/>
    <col min="14" max="14" width="8.7109375" style="147" customWidth="1"/>
    <col min="15" max="19" width="12.7109375" style="147" customWidth="1"/>
    <col min="20" max="20" width="0.85546875" style="147" customWidth="1"/>
    <col min="21" max="21" width="12.7109375" style="147" customWidth="1"/>
    <col min="22" max="26" width="8" style="147" customWidth="1"/>
  </cols>
  <sheetData>
    <row r="1" spans="1:26" ht="26.25" customHeight="1" x14ac:dyDescent="0.4">
      <c r="A1" s="84" t="str">
        <f>"Acquisition of "&amp;E7&amp;" by "&amp;E12</f>
        <v>Acquisition of Bien Hoa Packaging (SVI) by Thai Containers Group / SCGP</v>
      </c>
      <c r="B1" s="21"/>
      <c r="C1" s="21"/>
      <c r="D1" s="21"/>
      <c r="E1" s="21"/>
      <c r="F1" s="21"/>
      <c r="G1" s="21"/>
      <c r="H1" s="21"/>
      <c r="I1" s="21"/>
      <c r="J1" s="21"/>
      <c r="K1" s="21"/>
      <c r="L1" s="21"/>
      <c r="M1" s="21"/>
      <c r="N1" s="21"/>
      <c r="O1" s="21"/>
      <c r="P1" s="85"/>
      <c r="Q1" s="85"/>
      <c r="R1" s="85"/>
      <c r="S1" s="85"/>
      <c r="T1" s="85"/>
      <c r="U1" s="2"/>
      <c r="V1" s="2"/>
      <c r="W1" s="2"/>
      <c r="X1" s="2"/>
      <c r="Y1" s="2"/>
      <c r="Z1" s="2"/>
    </row>
    <row r="2" spans="1:26" ht="20.25" customHeight="1" x14ac:dyDescent="0.3">
      <c r="A2" s="22" t="s">
        <v>51</v>
      </c>
      <c r="B2" s="21"/>
      <c r="C2" s="21"/>
      <c r="D2" s="21"/>
      <c r="E2" s="21"/>
      <c r="F2" s="85"/>
      <c r="G2" s="21"/>
      <c r="H2" s="21"/>
      <c r="I2" s="21"/>
      <c r="J2" s="21"/>
      <c r="K2" s="21"/>
      <c r="L2" s="21"/>
      <c r="M2" s="21"/>
      <c r="N2" s="85"/>
      <c r="O2" s="21"/>
      <c r="P2" s="85"/>
      <c r="Q2" s="85"/>
      <c r="R2" s="85"/>
      <c r="S2" s="85"/>
      <c r="T2" s="85"/>
      <c r="U2" s="2"/>
      <c r="V2" s="2"/>
      <c r="W2" s="2"/>
      <c r="X2" s="2"/>
      <c r="Y2" s="2"/>
      <c r="Z2" s="2"/>
    </row>
    <row r="3" spans="1:26" ht="12.75" customHeight="1" x14ac:dyDescent="0.2">
      <c r="A3" s="24" t="s">
        <v>52</v>
      </c>
      <c r="B3" s="21"/>
      <c r="C3" s="21"/>
      <c r="D3" s="21"/>
      <c r="E3" s="21"/>
      <c r="F3" s="85"/>
      <c r="G3" s="21"/>
      <c r="H3" s="21"/>
      <c r="I3" s="21"/>
      <c r="J3" s="21"/>
      <c r="K3" s="21"/>
      <c r="L3" s="21"/>
      <c r="M3" s="21"/>
      <c r="N3" s="85"/>
      <c r="O3" s="21"/>
      <c r="P3" s="85"/>
      <c r="Q3" s="85"/>
      <c r="R3" s="85"/>
      <c r="S3" s="85"/>
      <c r="T3" s="85"/>
      <c r="U3" s="2"/>
      <c r="V3" s="2"/>
      <c r="W3" s="2"/>
      <c r="X3" s="2"/>
      <c r="Y3" s="2"/>
      <c r="Z3" s="2"/>
    </row>
    <row r="4" spans="1:26" ht="12.75" customHeight="1" x14ac:dyDescent="0.2">
      <c r="A4" s="2"/>
      <c r="B4" s="2"/>
      <c r="C4" s="2"/>
      <c r="D4" s="2"/>
      <c r="E4" s="2"/>
      <c r="F4" s="2"/>
      <c r="G4" s="25"/>
      <c r="H4" s="25"/>
      <c r="I4" s="25"/>
      <c r="J4" s="86"/>
      <c r="K4" s="86"/>
      <c r="L4" s="86"/>
      <c r="M4" s="86"/>
      <c r="N4" s="2"/>
      <c r="O4" s="2"/>
      <c r="P4" s="2"/>
      <c r="Q4" s="2"/>
      <c r="R4" s="2"/>
      <c r="S4" s="2"/>
      <c r="T4" s="2"/>
      <c r="U4" s="2"/>
      <c r="V4" s="2"/>
      <c r="W4" s="2"/>
      <c r="X4" s="2"/>
      <c r="Y4" s="2"/>
      <c r="Z4" s="2"/>
    </row>
    <row r="5" spans="1:26" ht="12.75" customHeight="1" x14ac:dyDescent="0.2">
      <c r="A5" s="2"/>
      <c r="B5" s="2"/>
      <c r="C5" s="2"/>
      <c r="D5" s="2"/>
      <c r="E5" s="2"/>
      <c r="F5" s="2"/>
      <c r="G5" s="25"/>
      <c r="H5" s="25"/>
      <c r="I5" s="25"/>
      <c r="J5" s="86"/>
      <c r="K5" s="86"/>
      <c r="L5" s="86"/>
      <c r="M5" s="86"/>
      <c r="N5" s="2"/>
      <c r="O5" s="2"/>
      <c r="P5" s="2"/>
      <c r="Q5" s="2"/>
      <c r="R5" s="2"/>
      <c r="S5" s="2"/>
      <c r="T5" s="2"/>
      <c r="U5" s="2"/>
      <c r="V5" s="2"/>
      <c r="W5" s="2"/>
      <c r="X5" s="2"/>
      <c r="Y5" s="2"/>
      <c r="Z5" s="2"/>
    </row>
    <row r="6" spans="1:26" ht="15" customHeight="1" x14ac:dyDescent="0.2">
      <c r="A6" s="2"/>
      <c r="B6" s="220" t="s">
        <v>53</v>
      </c>
      <c r="C6" s="216"/>
      <c r="D6" s="216"/>
      <c r="E6" s="216"/>
      <c r="F6" s="2"/>
      <c r="G6" s="220" t="s">
        <v>54</v>
      </c>
      <c r="H6" s="216"/>
      <c r="I6" s="216"/>
      <c r="J6" s="216"/>
      <c r="K6" s="216"/>
      <c r="L6" s="216"/>
      <c r="M6" s="216"/>
      <c r="N6" s="2"/>
      <c r="O6" s="220" t="s">
        <v>55</v>
      </c>
      <c r="P6" s="216"/>
      <c r="Q6" s="216"/>
      <c r="R6" s="216"/>
      <c r="S6" s="216"/>
      <c r="T6" s="2"/>
      <c r="U6" s="2"/>
      <c r="V6" s="2"/>
      <c r="W6" s="2"/>
      <c r="X6" s="2"/>
      <c r="Y6" s="2"/>
      <c r="Z6" s="2"/>
    </row>
    <row r="7" spans="1:26" ht="12.75" customHeight="1" x14ac:dyDescent="0.2">
      <c r="A7" s="2"/>
      <c r="B7" s="87" t="s">
        <v>24</v>
      </c>
      <c r="C7" s="88"/>
      <c r="D7" s="89"/>
      <c r="E7" s="141" t="s">
        <v>198</v>
      </c>
      <c r="F7" s="2"/>
      <c r="G7" s="88"/>
      <c r="H7" s="88"/>
      <c r="I7" s="88"/>
      <c r="J7" s="88"/>
      <c r="K7" s="90" t="s">
        <v>57</v>
      </c>
      <c r="L7" s="90" t="s">
        <v>58</v>
      </c>
      <c r="M7" s="88"/>
      <c r="N7" s="2"/>
      <c r="O7" s="223" t="s">
        <v>199</v>
      </c>
      <c r="P7" s="216"/>
      <c r="Q7" s="216"/>
      <c r="R7" s="216"/>
      <c r="S7" s="216"/>
      <c r="T7" s="2"/>
      <c r="U7" s="2"/>
      <c r="V7" s="2"/>
      <c r="W7" s="2"/>
      <c r="X7" s="2"/>
      <c r="Y7" s="2"/>
      <c r="Z7" s="2"/>
    </row>
    <row r="8" spans="1:26" ht="12.75" customHeight="1" x14ac:dyDescent="0.2">
      <c r="A8" s="2"/>
      <c r="B8" s="88" t="s">
        <v>60</v>
      </c>
      <c r="C8" s="88"/>
      <c r="D8" s="88"/>
      <c r="E8" s="141" t="s">
        <v>200</v>
      </c>
      <c r="F8" s="2"/>
      <c r="G8" s="88"/>
      <c r="H8" s="88"/>
      <c r="I8" s="88"/>
      <c r="J8" s="90" t="s">
        <v>62</v>
      </c>
      <c r="K8" s="90" t="s">
        <v>63</v>
      </c>
      <c r="L8" s="90" t="s">
        <v>63</v>
      </c>
      <c r="M8" s="90" t="s">
        <v>32</v>
      </c>
      <c r="N8" s="2"/>
      <c r="O8" s="216"/>
      <c r="P8" s="216"/>
      <c r="Q8" s="216"/>
      <c r="R8" s="216"/>
      <c r="S8" s="216"/>
      <c r="T8" s="2"/>
      <c r="U8" s="2"/>
      <c r="V8" s="2"/>
      <c r="W8" s="2"/>
      <c r="X8" s="2"/>
      <c r="Y8" s="2"/>
      <c r="Z8" s="2"/>
    </row>
    <row r="9" spans="1:26" ht="15" customHeight="1" x14ac:dyDescent="0.2">
      <c r="A9" s="2"/>
      <c r="B9" s="88" t="s">
        <v>64</v>
      </c>
      <c r="C9" s="88"/>
      <c r="D9" s="88"/>
      <c r="E9" s="151">
        <v>46022</v>
      </c>
      <c r="F9" s="2"/>
      <c r="G9" s="222"/>
      <c r="H9" s="216"/>
      <c r="I9" s="91"/>
      <c r="J9" s="142">
        <v>46022</v>
      </c>
      <c r="K9" s="142">
        <v>46022</v>
      </c>
      <c r="L9" s="142">
        <v>46022</v>
      </c>
      <c r="M9" s="92">
        <f>L9</f>
        <v>46022</v>
      </c>
      <c r="N9" s="2"/>
      <c r="O9" s="216"/>
      <c r="P9" s="216"/>
      <c r="Q9" s="216"/>
      <c r="R9" s="216"/>
      <c r="S9" s="216"/>
      <c r="T9" s="2"/>
      <c r="U9" s="2"/>
      <c r="V9" s="2"/>
      <c r="W9" s="2"/>
      <c r="X9" s="2"/>
      <c r="Y9" s="2"/>
      <c r="Z9" s="2"/>
    </row>
    <row r="10" spans="1:26" ht="12.75" customHeight="1" x14ac:dyDescent="0.2">
      <c r="A10" s="2"/>
      <c r="B10" s="88" t="s">
        <v>65</v>
      </c>
      <c r="C10" s="88"/>
      <c r="D10" s="88"/>
      <c r="E10" s="152">
        <v>0.2</v>
      </c>
      <c r="F10" s="2"/>
      <c r="G10" s="87" t="s">
        <v>39</v>
      </c>
      <c r="H10" s="87"/>
      <c r="I10" s="87"/>
      <c r="J10" s="153">
        <v>1881818.1818181821</v>
      </c>
      <c r="K10" s="154">
        <v>1881818.1818181821</v>
      </c>
      <c r="L10" s="155">
        <v>1881818.1818181821</v>
      </c>
      <c r="M10" s="156">
        <f>J10+L10-K10</f>
        <v>1881818.1818181821</v>
      </c>
      <c r="N10" s="2"/>
      <c r="O10" s="216"/>
      <c r="P10" s="216"/>
      <c r="Q10" s="216"/>
      <c r="R10" s="216"/>
      <c r="S10" s="216"/>
      <c r="T10" s="2"/>
      <c r="U10" s="2"/>
      <c r="V10" s="2"/>
      <c r="W10" s="2"/>
      <c r="X10" s="2"/>
      <c r="Y10" s="2"/>
      <c r="Z10" s="2"/>
    </row>
    <row r="11" spans="1:26" ht="15" customHeight="1" x14ac:dyDescent="0.2">
      <c r="A11" s="2"/>
      <c r="B11" s="88"/>
      <c r="C11" s="88"/>
      <c r="D11" s="88"/>
      <c r="E11" s="88"/>
      <c r="F11" s="2"/>
      <c r="G11" s="88" t="s">
        <v>66</v>
      </c>
      <c r="H11" s="88"/>
      <c r="I11" s="88"/>
      <c r="J11" s="157">
        <v>1223181.8181818179</v>
      </c>
      <c r="K11" s="158">
        <v>1223181.8181818179</v>
      </c>
      <c r="L11" s="159">
        <v>1223181.8181818179</v>
      </c>
      <c r="M11" s="160">
        <f>J11+L11-K11</f>
        <v>1223181.8181818179</v>
      </c>
      <c r="N11" s="2"/>
      <c r="O11" s="216"/>
      <c r="P11" s="216"/>
      <c r="Q11" s="216"/>
      <c r="R11" s="216"/>
      <c r="S11" s="216"/>
      <c r="T11" s="2"/>
      <c r="U11" s="2"/>
      <c r="V11" s="2"/>
      <c r="W11" s="2"/>
      <c r="X11" s="2"/>
      <c r="Y11" s="2"/>
      <c r="Z11" s="2"/>
    </row>
    <row r="12" spans="1:26" ht="12.75" customHeight="1" x14ac:dyDescent="0.2">
      <c r="A12" s="2"/>
      <c r="B12" s="87" t="s">
        <v>23</v>
      </c>
      <c r="C12" s="88"/>
      <c r="D12" s="89"/>
      <c r="E12" s="141" t="s">
        <v>201</v>
      </c>
      <c r="F12" s="2"/>
      <c r="G12" s="87" t="s">
        <v>68</v>
      </c>
      <c r="H12" s="88"/>
      <c r="I12" s="88"/>
      <c r="J12" s="156">
        <f>J10-SUM(J11)</f>
        <v>658636.36363636423</v>
      </c>
      <c r="K12" s="161">
        <f>K10-SUM(K11)</f>
        <v>658636.36363636423</v>
      </c>
      <c r="L12" s="162">
        <f>L10-SUM(L11)</f>
        <v>658636.36363636423</v>
      </c>
      <c r="M12" s="156">
        <f>M10-SUM(M11)</f>
        <v>658636.36363636423</v>
      </c>
      <c r="N12" s="2"/>
      <c r="O12" s="216"/>
      <c r="P12" s="216"/>
      <c r="Q12" s="216"/>
      <c r="R12" s="216"/>
      <c r="S12" s="216"/>
      <c r="T12" s="2"/>
      <c r="U12" s="2"/>
      <c r="V12" s="2"/>
      <c r="W12" s="2"/>
      <c r="X12" s="2"/>
      <c r="Y12" s="2"/>
      <c r="Z12" s="2"/>
    </row>
    <row r="13" spans="1:26" ht="12.75" customHeight="1" x14ac:dyDescent="0.2">
      <c r="A13" s="2"/>
      <c r="B13" s="88" t="s">
        <v>60</v>
      </c>
      <c r="C13" s="88"/>
      <c r="D13" s="88"/>
      <c r="E13" s="141" t="s">
        <v>202</v>
      </c>
      <c r="F13" s="2"/>
      <c r="G13" s="88" t="s">
        <v>70</v>
      </c>
      <c r="H13" s="93"/>
      <c r="I13" s="93"/>
      <c r="J13" s="157">
        <v>451636.36363636347</v>
      </c>
      <c r="K13" s="158">
        <v>451636.36363636347</v>
      </c>
      <c r="L13" s="159">
        <v>451636.36363636347</v>
      </c>
      <c r="M13" s="163">
        <f>J13+L13-K13</f>
        <v>451636.36363636347</v>
      </c>
      <c r="N13" s="2"/>
      <c r="O13" s="2"/>
      <c r="P13" s="2"/>
      <c r="Q13" s="2"/>
      <c r="R13" s="2"/>
      <c r="S13" s="2"/>
      <c r="T13" s="2"/>
      <c r="U13" s="2"/>
      <c r="V13" s="2"/>
      <c r="W13" s="2"/>
      <c r="X13" s="2"/>
      <c r="Y13" s="2"/>
      <c r="Z13" s="2"/>
    </row>
    <row r="14" spans="1:26" ht="15" customHeight="1" x14ac:dyDescent="0.2">
      <c r="A14" s="2"/>
      <c r="B14" s="88" t="s">
        <v>64</v>
      </c>
      <c r="C14" s="88"/>
      <c r="D14" s="88"/>
      <c r="E14" s="151">
        <v>46022</v>
      </c>
      <c r="F14" s="2"/>
      <c r="G14" s="88" t="s">
        <v>71</v>
      </c>
      <c r="H14" s="93"/>
      <c r="I14" s="93"/>
      <c r="J14" s="164">
        <v>0</v>
      </c>
      <c r="K14" s="165">
        <v>0</v>
      </c>
      <c r="L14" s="166">
        <v>0</v>
      </c>
      <c r="M14" s="167">
        <f>J14+L14-K14</f>
        <v>0</v>
      </c>
      <c r="N14" s="2"/>
      <c r="O14" s="220" t="s">
        <v>72</v>
      </c>
      <c r="P14" s="216"/>
      <c r="Q14" s="216"/>
      <c r="R14" s="216"/>
      <c r="S14" s="216"/>
      <c r="T14" s="2"/>
      <c r="U14" s="2"/>
      <c r="V14" s="2"/>
      <c r="W14" s="2"/>
      <c r="X14" s="2"/>
      <c r="Y14" s="2"/>
      <c r="Z14" s="2"/>
    </row>
    <row r="15" spans="1:26" ht="12.75" customHeight="1" x14ac:dyDescent="0.2">
      <c r="A15" s="2"/>
      <c r="B15" s="88"/>
      <c r="C15" s="88"/>
      <c r="D15" s="88"/>
      <c r="E15" s="168"/>
      <c r="F15" s="2"/>
      <c r="G15" s="87" t="s">
        <v>73</v>
      </c>
      <c r="H15" s="93"/>
      <c r="I15" s="93"/>
      <c r="J15" s="156">
        <f>J12-SUM(J13:J14)</f>
        <v>207000.00000000076</v>
      </c>
      <c r="K15" s="161">
        <f>K12-SUM(K13:K14)</f>
        <v>207000.00000000076</v>
      </c>
      <c r="L15" s="162">
        <f>L12-SUM(L13:L14)</f>
        <v>207000.00000000076</v>
      </c>
      <c r="M15" s="156">
        <f>M12-SUM(M13:M14)</f>
        <v>207000.00000000076</v>
      </c>
      <c r="N15" s="2"/>
      <c r="O15" s="223" t="s">
        <v>201</v>
      </c>
      <c r="P15" s="216"/>
      <c r="Q15" s="216"/>
      <c r="R15" s="216"/>
      <c r="S15" s="216"/>
      <c r="T15" s="2"/>
      <c r="U15" s="2"/>
      <c r="V15" s="2"/>
      <c r="W15" s="2"/>
      <c r="X15" s="2"/>
      <c r="Y15" s="2"/>
      <c r="Z15" s="2"/>
    </row>
    <row r="16" spans="1:26" ht="15" customHeight="1" x14ac:dyDescent="0.2">
      <c r="A16" s="2"/>
      <c r="B16" s="88" t="s">
        <v>74</v>
      </c>
      <c r="C16" s="88"/>
      <c r="D16" s="88"/>
      <c r="E16" s="143">
        <v>44183</v>
      </c>
      <c r="F16" s="2"/>
      <c r="G16" s="88" t="s">
        <v>75</v>
      </c>
      <c r="H16" s="93"/>
      <c r="I16" s="93"/>
      <c r="J16" s="157">
        <v>0</v>
      </c>
      <c r="K16" s="158">
        <v>0</v>
      </c>
      <c r="L16" s="159">
        <v>0</v>
      </c>
      <c r="M16" s="160">
        <f>J16+L16-K16</f>
        <v>0</v>
      </c>
      <c r="N16" s="2"/>
      <c r="O16" s="216"/>
      <c r="P16" s="216"/>
      <c r="Q16" s="216"/>
      <c r="R16" s="216"/>
      <c r="S16" s="216"/>
      <c r="T16" s="2"/>
      <c r="U16" s="2"/>
      <c r="V16" s="2"/>
      <c r="W16" s="2"/>
      <c r="X16" s="2"/>
      <c r="Y16" s="2"/>
      <c r="Z16" s="2"/>
    </row>
    <row r="17" spans="1:26" ht="12.75" customHeight="1" x14ac:dyDescent="0.2">
      <c r="A17" s="2"/>
      <c r="B17" s="88" t="s">
        <v>76</v>
      </c>
      <c r="C17" s="88"/>
      <c r="D17" s="88"/>
      <c r="E17" s="143">
        <v>44183</v>
      </c>
      <c r="F17" s="2"/>
      <c r="G17" s="87" t="s">
        <v>77</v>
      </c>
      <c r="H17" s="88"/>
      <c r="I17" s="88"/>
      <c r="J17" s="156">
        <f>J15-SUM(J16)</f>
        <v>207000.00000000076</v>
      </c>
      <c r="K17" s="161">
        <f>K15-SUM(K16)</f>
        <v>207000.00000000076</v>
      </c>
      <c r="L17" s="162">
        <f>L15-SUM(L16)</f>
        <v>207000.00000000076</v>
      </c>
      <c r="M17" s="156">
        <f>M15-SUM(M16)</f>
        <v>207000.00000000076</v>
      </c>
      <c r="N17" s="2"/>
      <c r="O17" s="216"/>
      <c r="P17" s="216"/>
      <c r="Q17" s="216"/>
      <c r="R17" s="216"/>
      <c r="S17" s="216"/>
      <c r="T17" s="2"/>
      <c r="U17" s="2"/>
      <c r="V17" s="2"/>
      <c r="W17" s="2"/>
      <c r="X17" s="2"/>
      <c r="Y17" s="2"/>
      <c r="Z17" s="2"/>
    </row>
    <row r="18" spans="1:26" ht="12.75" customHeight="1" x14ac:dyDescent="0.2">
      <c r="A18" s="2"/>
      <c r="B18" s="88" t="s">
        <v>78</v>
      </c>
      <c r="C18" s="88"/>
      <c r="D18" s="88"/>
      <c r="E18" s="141" t="s">
        <v>195</v>
      </c>
      <c r="F18" s="2"/>
      <c r="G18" s="88" t="s">
        <v>80</v>
      </c>
      <c r="H18" s="88"/>
      <c r="I18" s="88"/>
      <c r="J18" s="157">
        <v>41400</v>
      </c>
      <c r="K18" s="158">
        <v>41400</v>
      </c>
      <c r="L18" s="159">
        <v>41400</v>
      </c>
      <c r="M18" s="163">
        <f>J18+L18-K18</f>
        <v>41400</v>
      </c>
      <c r="N18" s="2"/>
      <c r="O18" s="216"/>
      <c r="P18" s="216"/>
      <c r="Q18" s="216"/>
      <c r="R18" s="216"/>
      <c r="S18" s="216"/>
      <c r="T18" s="2"/>
      <c r="U18" s="2"/>
      <c r="V18" s="2"/>
      <c r="W18" s="2"/>
      <c r="X18" s="2"/>
      <c r="Y18" s="2"/>
      <c r="Z18" s="2"/>
    </row>
    <row r="19" spans="1:26" ht="12.75" customHeight="1" x14ac:dyDescent="0.2">
      <c r="A19" s="2"/>
      <c r="B19" s="88" t="s">
        <v>81</v>
      </c>
      <c r="C19" s="88"/>
      <c r="D19" s="88"/>
      <c r="E19" s="141" t="s">
        <v>82</v>
      </c>
      <c r="F19" s="2"/>
      <c r="G19" s="88" t="s">
        <v>83</v>
      </c>
      <c r="H19" s="88"/>
      <c r="I19" s="88"/>
      <c r="J19" s="157">
        <v>0</v>
      </c>
      <c r="K19" s="158">
        <v>0</v>
      </c>
      <c r="L19" s="159">
        <v>0</v>
      </c>
      <c r="M19" s="163">
        <f>J19+L19-K19</f>
        <v>0</v>
      </c>
      <c r="N19" s="2"/>
      <c r="O19" s="216"/>
      <c r="P19" s="216"/>
      <c r="Q19" s="216"/>
      <c r="R19" s="216"/>
      <c r="S19" s="216"/>
      <c r="T19" s="2"/>
      <c r="U19" s="2"/>
      <c r="V19" s="2"/>
      <c r="W19" s="2"/>
      <c r="X19" s="2"/>
      <c r="Y19" s="2"/>
      <c r="Z19" s="2"/>
    </row>
    <row r="20" spans="1:26" ht="15" customHeight="1" x14ac:dyDescent="0.2">
      <c r="A20" s="2"/>
      <c r="B20" s="2"/>
      <c r="C20" s="2"/>
      <c r="D20" s="2"/>
      <c r="E20" s="2"/>
      <c r="F20" s="2"/>
      <c r="G20" s="88" t="s">
        <v>84</v>
      </c>
      <c r="H20" s="88"/>
      <c r="I20" s="88"/>
      <c r="J20" s="164">
        <v>0</v>
      </c>
      <c r="K20" s="165">
        <v>0</v>
      </c>
      <c r="L20" s="166">
        <v>0</v>
      </c>
      <c r="M20" s="167">
        <f>J20+L20-K20</f>
        <v>0</v>
      </c>
      <c r="N20" s="2"/>
      <c r="O20" s="216"/>
      <c r="P20" s="216"/>
      <c r="Q20" s="216"/>
      <c r="R20" s="216"/>
      <c r="S20" s="216"/>
      <c r="T20" s="2"/>
      <c r="U20" s="2"/>
      <c r="V20" s="2"/>
      <c r="W20" s="2"/>
      <c r="X20" s="2"/>
      <c r="Y20" s="2"/>
      <c r="Z20" s="2"/>
    </row>
    <row r="21" spans="1:26" ht="15" customHeight="1" x14ac:dyDescent="0.2">
      <c r="A21" s="2"/>
      <c r="B21" s="220" t="s">
        <v>85</v>
      </c>
      <c r="C21" s="216"/>
      <c r="D21" s="216"/>
      <c r="E21" s="216"/>
      <c r="F21" s="2"/>
      <c r="G21" s="87" t="s">
        <v>86</v>
      </c>
      <c r="H21" s="88"/>
      <c r="I21" s="88"/>
      <c r="J21" s="169">
        <f>J17-SUM(J18:J20)</f>
        <v>165600.00000000076</v>
      </c>
      <c r="K21" s="170">
        <f>K17-SUM(K18:K20)</f>
        <v>165600.00000000076</v>
      </c>
      <c r="L21" s="171">
        <f>L17-SUM(L18:L20)</f>
        <v>165600.00000000076</v>
      </c>
      <c r="M21" s="169">
        <f>M17-SUM(M18:M20)</f>
        <v>165600.00000000076</v>
      </c>
      <c r="N21" s="2"/>
      <c r="O21" s="2"/>
      <c r="P21" s="2"/>
      <c r="Q21" s="2"/>
      <c r="R21" s="2"/>
      <c r="S21" s="2"/>
      <c r="T21" s="2"/>
      <c r="U21" s="2"/>
      <c r="V21" s="2"/>
      <c r="W21" s="2"/>
      <c r="X21" s="2"/>
      <c r="Y21" s="2"/>
      <c r="Z21" s="2"/>
    </row>
    <row r="22" spans="1:26" ht="15" customHeight="1" x14ac:dyDescent="0.2">
      <c r="A22" s="2"/>
      <c r="B22" s="221" t="s">
        <v>87</v>
      </c>
      <c r="C22" s="216"/>
      <c r="D22" s="216"/>
      <c r="E22" s="216"/>
      <c r="F22" s="2"/>
      <c r="G22" s="94" t="s">
        <v>88</v>
      </c>
      <c r="H22" s="94"/>
      <c r="I22" s="94"/>
      <c r="J22" s="172">
        <f>+IF(ISERROR(J18/J17),"NA",J18/J17)</f>
        <v>0.19999999999999926</v>
      </c>
      <c r="K22" s="173">
        <f>+IF(ISERROR(K18/K17),"NA",K18/K17)</f>
        <v>0.19999999999999926</v>
      </c>
      <c r="L22" s="174">
        <f>+IF(ISERROR(L18/L17),"NA",L18/L17)</f>
        <v>0.19999999999999926</v>
      </c>
      <c r="M22" s="172">
        <f>+IF(ISERROR(M18/M17),"NA",M18/M17)</f>
        <v>0.19999999999999926</v>
      </c>
      <c r="N22" s="2"/>
      <c r="O22" s="220" t="s">
        <v>89</v>
      </c>
      <c r="P22" s="216"/>
      <c r="Q22" s="216"/>
      <c r="R22" s="216"/>
      <c r="S22" s="216"/>
      <c r="T22" s="2"/>
      <c r="U22" s="2"/>
      <c r="V22" s="2"/>
      <c r="W22" s="2"/>
      <c r="X22" s="2"/>
      <c r="Y22" s="2"/>
      <c r="Z22" s="2"/>
    </row>
    <row r="23" spans="1:26" ht="12.75" customHeight="1" x14ac:dyDescent="0.2">
      <c r="A23" s="2"/>
      <c r="B23" s="88" t="s">
        <v>90</v>
      </c>
      <c r="C23" s="88"/>
      <c r="D23" s="88"/>
      <c r="E23" s="144">
        <v>2070000</v>
      </c>
      <c r="F23" s="2"/>
      <c r="G23" s="88"/>
      <c r="H23" s="88"/>
      <c r="I23" s="88"/>
      <c r="J23" s="96"/>
      <c r="K23" s="97"/>
      <c r="L23" s="98"/>
      <c r="M23" s="96"/>
      <c r="N23" s="2"/>
      <c r="O23" s="223" t="s">
        <v>203</v>
      </c>
      <c r="P23" s="216"/>
      <c r="Q23" s="216"/>
      <c r="R23" s="216"/>
      <c r="S23" s="216"/>
      <c r="T23" s="2"/>
      <c r="U23" s="2"/>
      <c r="V23" s="2"/>
      <c r="W23" s="2"/>
      <c r="X23" s="2"/>
      <c r="Y23" s="2"/>
      <c r="Z23" s="2"/>
    </row>
    <row r="24" spans="1:26" ht="12.75" customHeight="1" x14ac:dyDescent="0.2">
      <c r="A24" s="2"/>
      <c r="B24" s="88" t="s">
        <v>92</v>
      </c>
      <c r="C24" s="88"/>
      <c r="D24" s="88"/>
      <c r="E24" s="99">
        <f>D25*D26</f>
        <v>0</v>
      </c>
      <c r="F24" s="2"/>
      <c r="G24" s="88" t="s">
        <v>93</v>
      </c>
      <c r="H24" s="88"/>
      <c r="I24" s="88"/>
      <c r="J24" s="157">
        <v>1</v>
      </c>
      <c r="K24" s="158">
        <v>1</v>
      </c>
      <c r="L24" s="159">
        <v>1</v>
      </c>
      <c r="M24" s="163">
        <f>+IF(ISERROR(J24+L24-K24),"NA",J24+L24-K24)</f>
        <v>1</v>
      </c>
      <c r="N24" s="2"/>
      <c r="O24" s="216"/>
      <c r="P24" s="216"/>
      <c r="Q24" s="216"/>
      <c r="R24" s="216"/>
      <c r="S24" s="216"/>
      <c r="T24" s="2"/>
      <c r="U24" s="2"/>
      <c r="V24" s="2"/>
      <c r="W24" s="2"/>
      <c r="X24" s="2"/>
      <c r="Y24" s="2"/>
      <c r="Z24" s="2"/>
    </row>
    <row r="25" spans="1:26" ht="12.75" customHeight="1" x14ac:dyDescent="0.2">
      <c r="A25" s="2"/>
      <c r="B25" s="100" t="s">
        <v>94</v>
      </c>
      <c r="C25" s="88"/>
      <c r="D25" s="101">
        <v>0</v>
      </c>
      <c r="E25" s="88"/>
      <c r="F25" s="2"/>
      <c r="G25" s="88" t="s">
        <v>95</v>
      </c>
      <c r="H25" s="88"/>
      <c r="I25" s="88"/>
      <c r="J25" s="102">
        <f>IF(ISERROR(J21/J24),"NA",J21/J24)</f>
        <v>165600.00000000076</v>
      </c>
      <c r="K25" s="103">
        <f>IF(ISERROR(K21/K24),"NA",K21/K24)</f>
        <v>165600.00000000076</v>
      </c>
      <c r="L25" s="104">
        <f>IF(ISERROR(L21/L24),"NA",L21/L24)</f>
        <v>165600.00000000076</v>
      </c>
      <c r="M25" s="102">
        <f>+IF(ISERROR(J25+L25-K25),"NA",J25+L25-K25)</f>
        <v>165600.00000000076</v>
      </c>
      <c r="N25" s="2"/>
      <c r="O25" s="216"/>
      <c r="P25" s="216"/>
      <c r="Q25" s="216"/>
      <c r="R25" s="216"/>
      <c r="S25" s="216"/>
      <c r="T25" s="2"/>
      <c r="U25" s="2"/>
      <c r="V25" s="2"/>
      <c r="W25" s="2"/>
      <c r="X25" s="2"/>
      <c r="Y25" s="2"/>
      <c r="Z25" s="2"/>
    </row>
    <row r="26" spans="1:26" ht="15" customHeight="1" x14ac:dyDescent="0.2">
      <c r="A26" s="2"/>
      <c r="B26" s="100" t="str">
        <f>""&amp;E12&amp;" Share Price"</f>
        <v>Thai Containers Group / SCGP Share Price</v>
      </c>
      <c r="C26" s="88"/>
      <c r="D26" s="95">
        <v>0</v>
      </c>
      <c r="E26" s="105" t="s">
        <v>96</v>
      </c>
      <c r="F26" s="2"/>
      <c r="G26" s="2"/>
      <c r="H26" s="2"/>
      <c r="I26" s="2"/>
      <c r="J26" s="2"/>
      <c r="K26" s="2"/>
      <c r="L26" s="2"/>
      <c r="M26" s="2"/>
      <c r="N26" s="2"/>
      <c r="O26" s="216"/>
      <c r="P26" s="216"/>
      <c r="Q26" s="216"/>
      <c r="R26" s="216"/>
      <c r="S26" s="216"/>
      <c r="T26" s="2"/>
      <c r="U26" s="2"/>
      <c r="V26" s="2"/>
      <c r="W26" s="2"/>
      <c r="X26" s="2"/>
      <c r="Y26" s="2"/>
      <c r="Z26" s="2"/>
    </row>
    <row r="27" spans="1:26" ht="15" customHeight="1" x14ac:dyDescent="0.2">
      <c r="A27" s="2"/>
      <c r="B27" s="87" t="s">
        <v>97</v>
      </c>
      <c r="C27" s="88"/>
      <c r="D27" s="88"/>
      <c r="E27" s="106">
        <f>SUM(E23:E24)</f>
        <v>2070000</v>
      </c>
      <c r="F27" s="2"/>
      <c r="G27" s="220" t="s">
        <v>98</v>
      </c>
      <c r="H27" s="216"/>
      <c r="I27" s="216"/>
      <c r="J27" s="216"/>
      <c r="K27" s="216"/>
      <c r="L27" s="216"/>
      <c r="M27" s="216"/>
      <c r="N27" s="2"/>
      <c r="O27" s="216"/>
      <c r="P27" s="216"/>
      <c r="Q27" s="216"/>
      <c r="R27" s="216"/>
      <c r="S27" s="216"/>
      <c r="T27" s="2"/>
      <c r="U27" s="2"/>
      <c r="V27" s="2"/>
      <c r="W27" s="2"/>
      <c r="X27" s="2"/>
      <c r="Y27" s="2"/>
      <c r="Z27" s="2"/>
    </row>
    <row r="28" spans="1:26" ht="12.75" customHeight="1" x14ac:dyDescent="0.2">
      <c r="A28" s="2"/>
      <c r="B28" s="87"/>
      <c r="C28" s="88"/>
      <c r="D28" s="88"/>
      <c r="E28" s="106"/>
      <c r="F28" s="2"/>
      <c r="G28" s="88" t="s">
        <v>99</v>
      </c>
      <c r="H28" s="88"/>
      <c r="I28" s="88"/>
      <c r="J28" s="175">
        <f>J12</f>
        <v>658636.36363636423</v>
      </c>
      <c r="K28" s="176">
        <f>K12</f>
        <v>658636.36363636423</v>
      </c>
      <c r="L28" s="177">
        <f>L12</f>
        <v>658636.36363636423</v>
      </c>
      <c r="M28" s="175">
        <f>M12</f>
        <v>658636.36363636423</v>
      </c>
      <c r="N28" s="2"/>
      <c r="O28" s="216"/>
      <c r="P28" s="216"/>
      <c r="Q28" s="216"/>
      <c r="R28" s="216"/>
      <c r="S28" s="216"/>
      <c r="T28" s="2"/>
      <c r="U28" s="2"/>
      <c r="V28" s="2"/>
      <c r="W28" s="2"/>
      <c r="X28" s="2"/>
      <c r="Y28" s="2"/>
      <c r="Z28" s="2"/>
    </row>
    <row r="29" spans="1:26" ht="15" customHeight="1" x14ac:dyDescent="0.2">
      <c r="A29" s="2"/>
      <c r="B29" s="88" t="s">
        <v>100</v>
      </c>
      <c r="C29" s="88"/>
      <c r="D29" s="88"/>
      <c r="E29" s="107">
        <f>+S36</f>
        <v>1</v>
      </c>
      <c r="F29" s="2"/>
      <c r="G29" s="88" t="s">
        <v>101</v>
      </c>
      <c r="H29" s="88"/>
      <c r="I29" s="88"/>
      <c r="J29" s="178">
        <v>0</v>
      </c>
      <c r="K29" s="179">
        <v>0</v>
      </c>
      <c r="L29" s="180">
        <v>0</v>
      </c>
      <c r="M29" s="160">
        <f>J29+L29-K29</f>
        <v>0</v>
      </c>
      <c r="N29" s="2"/>
      <c r="O29" s="108"/>
      <c r="P29" s="108"/>
      <c r="Q29" s="108"/>
      <c r="R29" s="108"/>
      <c r="S29" s="108"/>
      <c r="T29" s="2"/>
      <c r="U29" s="2"/>
      <c r="V29" s="2"/>
      <c r="W29" s="2"/>
      <c r="X29" s="2"/>
      <c r="Y29" s="2"/>
      <c r="Z29" s="2"/>
    </row>
    <row r="30" spans="1:26" ht="15" customHeight="1" x14ac:dyDescent="0.2">
      <c r="A30" s="2"/>
      <c r="B30" s="87" t="s">
        <v>102</v>
      </c>
      <c r="C30" s="88"/>
      <c r="D30" s="88"/>
      <c r="E30" s="181">
        <f>+E29*E27</f>
        <v>2070000</v>
      </c>
      <c r="F30" s="2"/>
      <c r="G30" s="87" t="s">
        <v>103</v>
      </c>
      <c r="H30" s="88"/>
      <c r="I30" s="88"/>
      <c r="J30" s="156">
        <f>J28+J29</f>
        <v>658636.36363636423</v>
      </c>
      <c r="K30" s="161">
        <f>K28+K29</f>
        <v>658636.36363636423</v>
      </c>
      <c r="L30" s="162">
        <f>L28+L29</f>
        <v>658636.36363636423</v>
      </c>
      <c r="M30" s="156">
        <f>M28+M29</f>
        <v>658636.36363636423</v>
      </c>
      <c r="N30" s="2"/>
      <c r="O30" s="220" t="s">
        <v>104</v>
      </c>
      <c r="P30" s="216"/>
      <c r="Q30" s="216"/>
      <c r="R30" s="216"/>
      <c r="S30" s="216"/>
      <c r="T30" s="2"/>
      <c r="U30" s="2"/>
      <c r="V30" s="2"/>
      <c r="W30" s="2"/>
      <c r="X30" s="2"/>
      <c r="Y30" s="2"/>
      <c r="Z30" s="2"/>
    </row>
    <row r="31" spans="1:26" ht="12.75" customHeight="1" x14ac:dyDescent="0.2">
      <c r="A31" s="2"/>
      <c r="B31" s="88"/>
      <c r="C31" s="88"/>
      <c r="D31" s="88"/>
      <c r="E31" s="88"/>
      <c r="F31" s="2"/>
      <c r="G31" s="94" t="s">
        <v>105</v>
      </c>
      <c r="H31" s="94"/>
      <c r="I31" s="94"/>
      <c r="J31" s="172">
        <f>IF(ISERROR(J30/J10),"NA",J30/J10)</f>
        <v>0.35000000000000026</v>
      </c>
      <c r="K31" s="173">
        <f>IF(ISERROR(K30/K10),"NA",K30/K10)</f>
        <v>0.35000000000000026</v>
      </c>
      <c r="L31" s="174">
        <f>IF(ISERROR(L30/L10),"NA",L30/L10)</f>
        <v>0.35000000000000026</v>
      </c>
      <c r="M31" s="172">
        <f>IF(ISERROR(M30/M10),"NA",M30/M10)</f>
        <v>0.35000000000000026</v>
      </c>
      <c r="N31" s="2"/>
      <c r="O31" s="88" t="s">
        <v>106</v>
      </c>
      <c r="P31" s="88"/>
      <c r="Q31" s="88"/>
      <c r="R31" s="88"/>
      <c r="S31" s="145">
        <v>1</v>
      </c>
      <c r="T31" s="2"/>
      <c r="U31" s="2"/>
      <c r="V31" s="2"/>
      <c r="W31" s="2"/>
      <c r="X31" s="2"/>
      <c r="Y31" s="2"/>
      <c r="Z31" s="2"/>
    </row>
    <row r="32" spans="1:26" ht="15" customHeight="1" x14ac:dyDescent="0.2">
      <c r="A32" s="2"/>
      <c r="B32" s="221" t="s">
        <v>107</v>
      </c>
      <c r="C32" s="216"/>
      <c r="D32" s="216"/>
      <c r="E32" s="216"/>
      <c r="F32" s="2"/>
      <c r="G32" s="88"/>
      <c r="H32" s="88"/>
      <c r="I32" s="88"/>
      <c r="J32" s="96"/>
      <c r="K32" s="97"/>
      <c r="L32" s="98"/>
      <c r="M32" s="96"/>
      <c r="N32" s="2"/>
      <c r="O32" s="88" t="s">
        <v>108</v>
      </c>
      <c r="P32" s="88"/>
      <c r="Q32" s="88"/>
      <c r="R32" s="88"/>
      <c r="S32" s="110">
        <f>+R46</f>
        <v>0</v>
      </c>
      <c r="T32" s="2"/>
      <c r="U32" s="2"/>
      <c r="V32" s="2"/>
      <c r="W32" s="2"/>
      <c r="X32" s="2"/>
      <c r="Y32" s="2"/>
      <c r="Z32" s="2"/>
    </row>
    <row r="33" spans="1:26" ht="15" customHeight="1" x14ac:dyDescent="0.2">
      <c r="A33" s="2"/>
      <c r="B33" s="88" t="s">
        <v>109</v>
      </c>
      <c r="C33" s="88"/>
      <c r="D33" s="88"/>
      <c r="E33" s="182">
        <v>0</v>
      </c>
      <c r="F33" s="2"/>
      <c r="G33" s="88" t="s">
        <v>110</v>
      </c>
      <c r="H33" s="88"/>
      <c r="I33" s="88"/>
      <c r="J33" s="175">
        <f>J15</f>
        <v>207000.00000000076</v>
      </c>
      <c r="K33" s="183">
        <f>K15</f>
        <v>207000.00000000076</v>
      </c>
      <c r="L33" s="184">
        <f>L15</f>
        <v>207000.00000000076</v>
      </c>
      <c r="M33" s="175">
        <f>M15</f>
        <v>207000.00000000076</v>
      </c>
      <c r="N33" s="2"/>
      <c r="O33" s="88" t="s">
        <v>111</v>
      </c>
      <c r="P33" s="88"/>
      <c r="Q33" s="88"/>
      <c r="R33" s="88"/>
      <c r="S33" s="111">
        <f>IF(ISERROR(-S46/E27),0,-S46/E27)</f>
        <v>0</v>
      </c>
      <c r="T33" s="2"/>
      <c r="U33" s="2"/>
      <c r="V33" s="2"/>
      <c r="W33" s="2"/>
      <c r="X33" s="2"/>
      <c r="Y33" s="2"/>
      <c r="Z33" s="2"/>
    </row>
    <row r="34" spans="1:26" ht="12.75" customHeight="1" x14ac:dyDescent="0.2">
      <c r="A34" s="2"/>
      <c r="B34" s="88" t="s">
        <v>112</v>
      </c>
      <c r="C34" s="88"/>
      <c r="D34" s="88"/>
      <c r="E34" s="182">
        <v>0</v>
      </c>
      <c r="F34" s="2"/>
      <c r="G34" s="88" t="s">
        <v>101</v>
      </c>
      <c r="H34" s="88"/>
      <c r="I34" s="88"/>
      <c r="J34" s="112">
        <f>+J29</f>
        <v>0</v>
      </c>
      <c r="K34" s="113">
        <f>+K29</f>
        <v>0</v>
      </c>
      <c r="L34" s="114">
        <f>+L29</f>
        <v>0</v>
      </c>
      <c r="M34" s="112">
        <f>J34+L34-K34</f>
        <v>0</v>
      </c>
      <c r="N34" s="2"/>
      <c r="O34" s="87" t="s">
        <v>113</v>
      </c>
      <c r="P34" s="87"/>
      <c r="Q34" s="87"/>
      <c r="R34" s="87"/>
      <c r="S34" s="115">
        <f>S32+S33</f>
        <v>0</v>
      </c>
      <c r="T34" s="2"/>
      <c r="U34" s="2"/>
      <c r="V34" s="2"/>
      <c r="W34" s="2"/>
      <c r="X34" s="2"/>
      <c r="Y34" s="2"/>
      <c r="Z34" s="2"/>
    </row>
    <row r="35" spans="1:26" ht="15" customHeight="1" x14ac:dyDescent="0.2">
      <c r="A35" s="2"/>
      <c r="B35" s="88" t="s">
        <v>114</v>
      </c>
      <c r="C35" s="88"/>
      <c r="D35" s="88"/>
      <c r="E35" s="182">
        <v>0</v>
      </c>
      <c r="F35" s="116"/>
      <c r="G35" s="88" t="s">
        <v>115</v>
      </c>
      <c r="H35" s="88"/>
      <c r="I35" s="88"/>
      <c r="J35" s="178">
        <v>0</v>
      </c>
      <c r="K35" s="179">
        <v>0</v>
      </c>
      <c r="L35" s="180">
        <v>0</v>
      </c>
      <c r="M35" s="160">
        <f>J35+L35-K35</f>
        <v>0</v>
      </c>
      <c r="N35" s="2"/>
      <c r="O35" s="88" t="s">
        <v>116</v>
      </c>
      <c r="P35" s="88"/>
      <c r="Q35" s="88"/>
      <c r="R35" s="88"/>
      <c r="S35" s="107">
        <f>S56</f>
        <v>0</v>
      </c>
      <c r="T35" s="2"/>
      <c r="U35" s="2"/>
      <c r="V35" s="2"/>
      <c r="W35" s="2"/>
      <c r="X35" s="2"/>
      <c r="Y35" s="2"/>
      <c r="Z35" s="2"/>
    </row>
    <row r="36" spans="1:26" ht="15" customHeight="1" x14ac:dyDescent="0.2">
      <c r="A36" s="2"/>
      <c r="B36" s="88" t="s">
        <v>117</v>
      </c>
      <c r="C36" s="88"/>
      <c r="D36" s="88"/>
      <c r="E36" s="185">
        <v>0</v>
      </c>
      <c r="F36" s="2"/>
      <c r="G36" s="87" t="s">
        <v>118</v>
      </c>
      <c r="H36" s="88"/>
      <c r="I36" s="88"/>
      <c r="J36" s="156">
        <f>SUM(J33:J35)</f>
        <v>207000.00000000076</v>
      </c>
      <c r="K36" s="161">
        <f>SUM(K33:K35)</f>
        <v>207000.00000000076</v>
      </c>
      <c r="L36" s="162">
        <f>SUM(L33:L35)</f>
        <v>207000.00000000076</v>
      </c>
      <c r="M36" s="156">
        <f>SUM(M33:M35)</f>
        <v>207000.00000000076</v>
      </c>
      <c r="N36" s="2"/>
      <c r="O36" s="87" t="s">
        <v>119</v>
      </c>
      <c r="P36" s="88"/>
      <c r="Q36" s="88"/>
      <c r="R36" s="88"/>
      <c r="S36" s="117">
        <f>+S31+SUM(S34:S35)</f>
        <v>1</v>
      </c>
      <c r="T36" s="2"/>
      <c r="U36" s="2"/>
      <c r="V36" s="2"/>
      <c r="W36" s="2"/>
      <c r="X36" s="2"/>
      <c r="Y36" s="2"/>
      <c r="Z36" s="2"/>
    </row>
    <row r="37" spans="1:26" ht="15" customHeight="1" x14ac:dyDescent="0.2">
      <c r="A37" s="2"/>
      <c r="B37" s="87" t="s">
        <v>120</v>
      </c>
      <c r="C37" s="88"/>
      <c r="D37" s="88"/>
      <c r="E37" s="186">
        <f>+E30+SUM(E33:E35)+E36</f>
        <v>2070000</v>
      </c>
      <c r="F37" s="118"/>
      <c r="G37" s="94" t="s">
        <v>105</v>
      </c>
      <c r="H37" s="94"/>
      <c r="I37" s="94"/>
      <c r="J37" s="172">
        <f>IF(ISERROR(J36/J10),"NA",J36/J10)</f>
        <v>0.11000000000000039</v>
      </c>
      <c r="K37" s="173">
        <f>IF(ISERROR(K36/K10),"NA",K36/K10)</f>
        <v>0.11000000000000039</v>
      </c>
      <c r="L37" s="174">
        <f>IF(ISERROR(L36/L10),"NA",L36/L10)</f>
        <v>0.11000000000000039</v>
      </c>
      <c r="M37" s="172">
        <f>IF(ISERROR(M36/M10),"NA",M36/M10)</f>
        <v>0.11000000000000039</v>
      </c>
      <c r="N37" s="2"/>
      <c r="O37" s="88"/>
      <c r="P37" s="88"/>
      <c r="Q37" s="88"/>
      <c r="R37" s="88"/>
      <c r="S37" s="88"/>
      <c r="T37" s="2"/>
      <c r="U37" s="2"/>
      <c r="V37" s="2"/>
      <c r="W37" s="2"/>
      <c r="X37" s="2"/>
      <c r="Y37" s="2"/>
      <c r="Z37" s="2"/>
    </row>
    <row r="38" spans="1:26" ht="15" customHeight="1" x14ac:dyDescent="0.2">
      <c r="A38" s="2"/>
      <c r="B38" s="2"/>
      <c r="C38" s="2"/>
      <c r="D38" s="2"/>
      <c r="E38" s="2"/>
      <c r="F38" s="118"/>
      <c r="G38" s="88"/>
      <c r="H38" s="88"/>
      <c r="I38" s="88"/>
      <c r="J38" s="96"/>
      <c r="K38" s="97"/>
      <c r="L38" s="98"/>
      <c r="M38" s="96"/>
      <c r="N38" s="2"/>
      <c r="O38" s="221" t="s">
        <v>121</v>
      </c>
      <c r="P38" s="216"/>
      <c r="Q38" s="216"/>
      <c r="R38" s="216"/>
      <c r="S38" s="216"/>
      <c r="T38" s="2"/>
      <c r="U38" s="2"/>
      <c r="V38" s="2"/>
      <c r="W38" s="2"/>
      <c r="X38" s="2"/>
      <c r="Y38" s="2"/>
      <c r="Z38" s="2"/>
    </row>
    <row r="39" spans="1:26" ht="15" customHeight="1" x14ac:dyDescent="0.2">
      <c r="A39" s="2"/>
      <c r="B39" s="220" t="s">
        <v>122</v>
      </c>
      <c r="C39" s="216"/>
      <c r="D39" s="216"/>
      <c r="E39" s="216"/>
      <c r="F39" s="2"/>
      <c r="G39" s="88" t="s">
        <v>123</v>
      </c>
      <c r="H39" s="88"/>
      <c r="I39" s="88"/>
      <c r="J39" s="119">
        <f>+J54</f>
        <v>51750</v>
      </c>
      <c r="K39" s="120">
        <f>+K54</f>
        <v>51750</v>
      </c>
      <c r="L39" s="121">
        <f>+L54</f>
        <v>51750</v>
      </c>
      <c r="M39" s="119">
        <f>+M54</f>
        <v>51750</v>
      </c>
      <c r="N39" s="2"/>
      <c r="O39" s="90"/>
      <c r="P39" s="90" t="s">
        <v>124</v>
      </c>
      <c r="Q39" s="90" t="s">
        <v>125</v>
      </c>
      <c r="R39" s="90" t="s">
        <v>126</v>
      </c>
      <c r="S39" s="90"/>
      <c r="T39" s="2"/>
      <c r="U39" s="2"/>
      <c r="V39" s="2"/>
      <c r="W39" s="2"/>
      <c r="X39" s="2"/>
      <c r="Y39" s="2"/>
      <c r="Z39" s="2"/>
    </row>
    <row r="40" spans="1:26" ht="15" customHeight="1" x14ac:dyDescent="0.2">
      <c r="A40" s="2"/>
      <c r="B40" s="88" t="s">
        <v>127</v>
      </c>
      <c r="C40" s="88"/>
      <c r="D40" s="88"/>
      <c r="E40" s="122">
        <f>IF(ISERROR(E37/M10),"NA",E37/M10)</f>
        <v>1.0999999999999999</v>
      </c>
      <c r="F40" s="2"/>
      <c r="G40" s="87" t="s">
        <v>128</v>
      </c>
      <c r="H40" s="88"/>
      <c r="I40" s="88"/>
      <c r="J40" s="156">
        <f>+J36+J39</f>
        <v>258750.00000000076</v>
      </c>
      <c r="K40" s="161">
        <f>+K36+K39</f>
        <v>258750.00000000076</v>
      </c>
      <c r="L40" s="162">
        <f>+L36+L39</f>
        <v>258750.00000000076</v>
      </c>
      <c r="M40" s="156">
        <f>+M36+M39</f>
        <v>258750.00000000076</v>
      </c>
      <c r="N40" s="2"/>
      <c r="O40" s="92" t="s">
        <v>129</v>
      </c>
      <c r="P40" s="92" t="s">
        <v>130</v>
      </c>
      <c r="Q40" s="92" t="s">
        <v>131</v>
      </c>
      <c r="R40" s="92" t="s">
        <v>130</v>
      </c>
      <c r="S40" s="92" t="s">
        <v>132</v>
      </c>
      <c r="T40" s="2"/>
      <c r="U40" s="2"/>
      <c r="V40" s="2"/>
      <c r="W40" s="2"/>
      <c r="X40" s="2"/>
      <c r="Y40" s="2"/>
      <c r="Z40" s="2"/>
    </row>
    <row r="41" spans="1:26" ht="12.75" customHeight="1" x14ac:dyDescent="0.2">
      <c r="A41" s="2"/>
      <c r="B41" s="88" t="s">
        <v>133</v>
      </c>
      <c r="C41" s="88"/>
      <c r="D41" s="88"/>
      <c r="E41" s="187">
        <f>M10</f>
        <v>1881818.1818181821</v>
      </c>
      <c r="F41" s="2"/>
      <c r="G41" s="94" t="s">
        <v>105</v>
      </c>
      <c r="H41" s="94"/>
      <c r="I41" s="94"/>
      <c r="J41" s="172">
        <f>IF(ISERROR(J40/J10),"NA",J40/J10)</f>
        <v>0.13750000000000037</v>
      </c>
      <c r="K41" s="173">
        <f>IF(ISERROR(K40/K10),"NA",K40/K10)</f>
        <v>0.13750000000000037</v>
      </c>
      <c r="L41" s="174">
        <f>IF(ISERROR(L40/L10),"NA",L40/L10)</f>
        <v>0.13750000000000037</v>
      </c>
      <c r="M41" s="172">
        <f>IF(ISERROR(M40/M10),"NA",M40/M10)</f>
        <v>0.13750000000000037</v>
      </c>
      <c r="N41" s="2"/>
      <c r="O41" s="88" t="s">
        <v>134</v>
      </c>
      <c r="P41" s="109">
        <v>0</v>
      </c>
      <c r="Q41" s="95">
        <v>0</v>
      </c>
      <c r="R41" s="110">
        <f>+IF(Q41&lt;$E$27,P41,0)</f>
        <v>0</v>
      </c>
      <c r="S41" s="187">
        <f>IF(R41="NA","NA",R41*Q41)</f>
        <v>0</v>
      </c>
      <c r="T41" s="2"/>
      <c r="U41" s="2"/>
      <c r="V41" s="2"/>
      <c r="W41" s="2"/>
      <c r="X41" s="2"/>
      <c r="Y41" s="2"/>
      <c r="Z41" s="2"/>
    </row>
    <row r="42" spans="1:26" ht="12.75" customHeight="1" x14ac:dyDescent="0.2">
      <c r="A42" s="2"/>
      <c r="B42" s="88" t="s">
        <v>135</v>
      </c>
      <c r="C42" s="88"/>
      <c r="D42" s="88"/>
      <c r="E42" s="122">
        <f>IF(ISERROR(E37/M40),"NA",E37/M40)</f>
        <v>7.9999999999999769</v>
      </c>
      <c r="F42" s="2"/>
      <c r="G42" s="88"/>
      <c r="H42" s="88"/>
      <c r="I42" s="88"/>
      <c r="J42" s="96"/>
      <c r="K42" s="97"/>
      <c r="L42" s="98"/>
      <c r="M42" s="96"/>
      <c r="N42" s="2"/>
      <c r="O42" s="88" t="s">
        <v>136</v>
      </c>
      <c r="P42" s="109">
        <v>0</v>
      </c>
      <c r="Q42" s="101">
        <v>0</v>
      </c>
      <c r="R42" s="110">
        <f>+IF(Q42&lt;$E$27,P42,0)</f>
        <v>0</v>
      </c>
      <c r="S42" s="123">
        <f>IF(R42="NA","NA",R42*Q42)</f>
        <v>0</v>
      </c>
      <c r="T42" s="2"/>
      <c r="U42" s="2"/>
      <c r="V42" s="2"/>
      <c r="W42" s="2"/>
      <c r="X42" s="2"/>
      <c r="Y42" s="2"/>
      <c r="Z42" s="2"/>
    </row>
    <row r="43" spans="1:26" ht="12.75" customHeight="1" x14ac:dyDescent="0.2">
      <c r="A43" s="2"/>
      <c r="B43" s="88" t="s">
        <v>133</v>
      </c>
      <c r="C43" s="88"/>
      <c r="D43" s="88"/>
      <c r="E43" s="187">
        <f>M40</f>
        <v>258750.00000000076</v>
      </c>
      <c r="F43" s="2"/>
      <c r="G43" s="88" t="s">
        <v>137</v>
      </c>
      <c r="H43" s="88"/>
      <c r="I43" s="88"/>
      <c r="J43" s="175">
        <f>J21</f>
        <v>165600.00000000076</v>
      </c>
      <c r="K43" s="183">
        <f>K21</f>
        <v>165600.00000000076</v>
      </c>
      <c r="L43" s="184">
        <f>L21</f>
        <v>165600.00000000076</v>
      </c>
      <c r="M43" s="175">
        <f>M21</f>
        <v>165600.00000000076</v>
      </c>
      <c r="N43" s="2"/>
      <c r="O43" s="88" t="s">
        <v>138</v>
      </c>
      <c r="P43" s="109">
        <v>0</v>
      </c>
      <c r="Q43" s="101">
        <v>0</v>
      </c>
      <c r="R43" s="110">
        <f>+IF(Q43&lt;$E$27,P43,0)</f>
        <v>0</v>
      </c>
      <c r="S43" s="123">
        <f>IF(R43="NA","NA",R43*Q43)</f>
        <v>0</v>
      </c>
      <c r="T43" s="2"/>
      <c r="U43" s="2"/>
      <c r="V43" s="2"/>
      <c r="W43" s="2"/>
      <c r="X43" s="2"/>
      <c r="Y43" s="2"/>
      <c r="Z43" s="2"/>
    </row>
    <row r="44" spans="1:26" ht="12.75" customHeight="1" x14ac:dyDescent="0.2">
      <c r="A44" s="2"/>
      <c r="B44" s="88" t="s">
        <v>139</v>
      </c>
      <c r="C44" s="88"/>
      <c r="D44" s="88"/>
      <c r="E44" s="122">
        <f>IF(ISERROR(E37/M36),"NA",E37/M36)</f>
        <v>9.9999999999999627</v>
      </c>
      <c r="F44" s="2"/>
      <c r="G44" s="88" t="s">
        <v>101</v>
      </c>
      <c r="H44" s="88"/>
      <c r="I44" s="88"/>
      <c r="J44" s="163">
        <f>+J29</f>
        <v>0</v>
      </c>
      <c r="K44" s="188">
        <f>+K29</f>
        <v>0</v>
      </c>
      <c r="L44" s="189">
        <f>+L29</f>
        <v>0</v>
      </c>
      <c r="M44" s="163">
        <f>J44+L44-K44</f>
        <v>0</v>
      </c>
      <c r="N44" s="2"/>
      <c r="O44" s="88" t="s">
        <v>140</v>
      </c>
      <c r="P44" s="109">
        <v>0</v>
      </c>
      <c r="Q44" s="101">
        <v>0</v>
      </c>
      <c r="R44" s="110">
        <f>+IF(Q44&lt;$E$27,P44,0)</f>
        <v>0</v>
      </c>
      <c r="S44" s="123">
        <f>IF(R44="NA","NA",R44*Q44)</f>
        <v>0</v>
      </c>
      <c r="T44" s="2"/>
      <c r="U44" s="26"/>
      <c r="V44" s="2"/>
      <c r="W44" s="2"/>
      <c r="X44" s="2"/>
      <c r="Y44" s="2"/>
      <c r="Z44" s="2"/>
    </row>
    <row r="45" spans="1:26" ht="15" customHeight="1" x14ac:dyDescent="0.2">
      <c r="A45" s="2"/>
      <c r="B45" s="88" t="s">
        <v>133</v>
      </c>
      <c r="C45" s="88"/>
      <c r="D45" s="88"/>
      <c r="E45" s="187">
        <f>M36</f>
        <v>207000.00000000076</v>
      </c>
      <c r="F45" s="2"/>
      <c r="G45" s="88" t="s">
        <v>115</v>
      </c>
      <c r="H45" s="88"/>
      <c r="I45" s="88"/>
      <c r="J45" s="163">
        <f>+J35</f>
        <v>0</v>
      </c>
      <c r="K45" s="188">
        <f>+K35</f>
        <v>0</v>
      </c>
      <c r="L45" s="189">
        <f>+L35</f>
        <v>0</v>
      </c>
      <c r="M45" s="163">
        <f>J45+L45-K45</f>
        <v>0</v>
      </c>
      <c r="N45" s="2"/>
      <c r="O45" s="88" t="s">
        <v>141</v>
      </c>
      <c r="P45" s="124">
        <v>0</v>
      </c>
      <c r="Q45" s="125">
        <v>0</v>
      </c>
      <c r="R45" s="107">
        <f>+IF(Q45&lt;$E$27,P45,0)</f>
        <v>0</v>
      </c>
      <c r="S45" s="126">
        <f>IF(R45="NA","NA",R45*Q45)</f>
        <v>0</v>
      </c>
      <c r="T45" s="2"/>
      <c r="U45" s="2"/>
      <c r="V45" s="2"/>
      <c r="W45" s="2"/>
      <c r="X45" s="2"/>
      <c r="Y45" s="2"/>
      <c r="Z45" s="2"/>
    </row>
    <row r="46" spans="1:26" ht="12.75" customHeight="1" x14ac:dyDescent="0.2">
      <c r="A46" s="2"/>
      <c r="B46" s="88" t="s">
        <v>142</v>
      </c>
      <c r="C46" s="88"/>
      <c r="D46" s="88"/>
      <c r="E46" s="122">
        <f>IF(ISERROR(E27/M51),"NA",E27/M51)</f>
        <v>12.499999999999943</v>
      </c>
      <c r="F46" s="2"/>
      <c r="G46" s="88" t="s">
        <v>143</v>
      </c>
      <c r="H46" s="88"/>
      <c r="I46" s="88"/>
      <c r="J46" s="190">
        <v>0</v>
      </c>
      <c r="K46" s="191">
        <v>0</v>
      </c>
      <c r="L46" s="192">
        <v>0</v>
      </c>
      <c r="M46" s="163">
        <f>J46+L46-K46</f>
        <v>0</v>
      </c>
      <c r="N46" s="2"/>
      <c r="O46" s="87" t="s">
        <v>144</v>
      </c>
      <c r="P46" s="115">
        <f>SUM(P41:P45)</f>
        <v>0</v>
      </c>
      <c r="Q46" s="127"/>
      <c r="R46" s="115">
        <f>SUM(R41:R45)</f>
        <v>0</v>
      </c>
      <c r="S46" s="181">
        <f>SUM(S41:S45)</f>
        <v>0</v>
      </c>
      <c r="T46" s="2"/>
      <c r="U46" s="2"/>
      <c r="V46" s="2"/>
      <c r="W46" s="2"/>
      <c r="X46" s="2"/>
      <c r="Y46" s="2"/>
      <c r="Z46" s="2"/>
    </row>
    <row r="47" spans="1:26" ht="15" customHeight="1" x14ac:dyDescent="0.2">
      <c r="A47" s="2"/>
      <c r="B47" s="88" t="s">
        <v>133</v>
      </c>
      <c r="C47" s="88"/>
      <c r="D47" s="88"/>
      <c r="E47" s="102">
        <f>M51</f>
        <v>165600.00000000076</v>
      </c>
      <c r="F47" s="2"/>
      <c r="G47" s="88" t="s">
        <v>145</v>
      </c>
      <c r="H47" s="88"/>
      <c r="I47" s="88"/>
      <c r="J47" s="167">
        <f>-(SUM(J44:J46)*($E$10))</f>
        <v>0</v>
      </c>
      <c r="K47" s="193">
        <f>-(SUM(K44:K46)*($E$10))</f>
        <v>0</v>
      </c>
      <c r="L47" s="194">
        <f>-(SUM(L44:L46)*($E$10))</f>
        <v>0</v>
      </c>
      <c r="M47" s="167">
        <f>-(SUM(M44:M46)*($E$10))</f>
        <v>0</v>
      </c>
      <c r="N47" s="2"/>
      <c r="O47" s="88"/>
      <c r="P47" s="88"/>
      <c r="Q47" s="88"/>
      <c r="R47" s="88"/>
      <c r="S47" s="88"/>
      <c r="T47" s="2"/>
      <c r="U47" s="2"/>
      <c r="V47" s="2"/>
      <c r="W47" s="2"/>
      <c r="X47" s="2"/>
      <c r="Y47" s="2"/>
      <c r="Z47" s="2"/>
    </row>
    <row r="48" spans="1:26" ht="15" customHeight="1" x14ac:dyDescent="0.2">
      <c r="A48" s="2"/>
      <c r="B48" s="2"/>
      <c r="C48" s="2"/>
      <c r="D48" s="2"/>
      <c r="E48" s="2"/>
      <c r="F48" s="2"/>
      <c r="G48" s="87" t="s">
        <v>146</v>
      </c>
      <c r="H48" s="88"/>
      <c r="I48" s="88"/>
      <c r="J48" s="169">
        <f>SUM(J43:J47)</f>
        <v>165600.00000000076</v>
      </c>
      <c r="K48" s="170">
        <f>SUM(K43:K47)</f>
        <v>165600.00000000076</v>
      </c>
      <c r="L48" s="171">
        <f>SUM(L43:L47)</f>
        <v>165600.00000000076</v>
      </c>
      <c r="M48" s="169">
        <f>SUM(M43:M47)</f>
        <v>165600.00000000076</v>
      </c>
      <c r="N48" s="128"/>
      <c r="O48" s="221" t="s">
        <v>147</v>
      </c>
      <c r="P48" s="216"/>
      <c r="Q48" s="216"/>
      <c r="R48" s="216"/>
      <c r="S48" s="216"/>
      <c r="T48" s="2"/>
      <c r="U48" s="2"/>
      <c r="V48" s="2"/>
      <c r="W48" s="2"/>
      <c r="X48" s="2"/>
      <c r="Y48" s="2"/>
      <c r="Z48" s="2"/>
    </row>
    <row r="49" spans="1:26" ht="15" customHeight="1" x14ac:dyDescent="0.2">
      <c r="A49" s="2"/>
      <c r="B49" s="220" t="s">
        <v>148</v>
      </c>
      <c r="C49" s="216"/>
      <c r="D49" s="216"/>
      <c r="E49" s="216"/>
      <c r="F49" s="2"/>
      <c r="G49" s="94" t="s">
        <v>105</v>
      </c>
      <c r="H49" s="94"/>
      <c r="I49" s="94"/>
      <c r="J49" s="172">
        <f>IF(ISERROR(J48/J10),"NA",J48/J10)</f>
        <v>8.8000000000000383E-2</v>
      </c>
      <c r="K49" s="173">
        <f>IF(ISERROR(K48/K10),"NA",K48/K10)</f>
        <v>8.8000000000000383E-2</v>
      </c>
      <c r="L49" s="174">
        <f>IF(ISERROR(L48/L10),"NA",L48/L10)</f>
        <v>8.8000000000000383E-2</v>
      </c>
      <c r="M49" s="172">
        <f>IF(ISERROR(M48/M10),"NA",M48/M10)</f>
        <v>8.8000000000000383E-2</v>
      </c>
      <c r="N49" s="2"/>
      <c r="O49" s="88"/>
      <c r="P49" s="90"/>
      <c r="Q49" s="90" t="s">
        <v>149</v>
      </c>
      <c r="R49" s="90" t="s">
        <v>150</v>
      </c>
      <c r="S49" s="90" t="s">
        <v>151</v>
      </c>
      <c r="T49" s="2"/>
      <c r="U49" s="2"/>
      <c r="V49" s="2"/>
      <c r="W49" s="2"/>
      <c r="X49" s="2"/>
      <c r="Y49" s="2"/>
      <c r="Z49" s="2"/>
    </row>
    <row r="50" spans="1:26" ht="15" customHeight="1" x14ac:dyDescent="0.2">
      <c r="A50" s="2"/>
      <c r="B50" s="221" t="s">
        <v>152</v>
      </c>
      <c r="C50" s="216"/>
      <c r="D50" s="216"/>
      <c r="E50" s="129" t="s">
        <v>153</v>
      </c>
      <c r="F50" s="2"/>
      <c r="G50" s="88"/>
      <c r="H50" s="88"/>
      <c r="I50" s="88"/>
      <c r="J50" s="96"/>
      <c r="K50" s="97"/>
      <c r="L50" s="98"/>
      <c r="M50" s="96"/>
      <c r="N50" s="195"/>
      <c r="O50" s="88"/>
      <c r="P50" s="92" t="s">
        <v>154</v>
      </c>
      <c r="Q50" s="129" t="s">
        <v>131</v>
      </c>
      <c r="R50" s="129" t="s">
        <v>155</v>
      </c>
      <c r="S50" s="129" t="s">
        <v>130</v>
      </c>
      <c r="T50" s="2"/>
      <c r="U50" s="2"/>
      <c r="V50" s="2"/>
      <c r="W50" s="2"/>
      <c r="X50" s="2"/>
      <c r="Y50" s="2"/>
      <c r="Z50" s="2"/>
    </row>
    <row r="51" spans="1:26" ht="12.75" customHeight="1" x14ac:dyDescent="0.2">
      <c r="A51" s="2"/>
      <c r="B51" s="88" t="s">
        <v>156</v>
      </c>
      <c r="C51" s="88"/>
      <c r="D51" s="144">
        <v>1592307.692307692</v>
      </c>
      <c r="E51" s="172">
        <f>IF(ISERROR($E$27/D51-1),"NA",$E$27/D51-1)</f>
        <v>0.30000000000000027</v>
      </c>
      <c r="F51" s="2"/>
      <c r="G51" s="88" t="s">
        <v>157</v>
      </c>
      <c r="H51" s="88"/>
      <c r="I51" s="88"/>
      <c r="J51" s="102">
        <f>IF(ISERROR(J48/J24),0,J48/J24)</f>
        <v>165600.00000000076</v>
      </c>
      <c r="K51" s="103">
        <f>IF(ISERROR(K48/K24),0,K48/K24)</f>
        <v>165600.00000000076</v>
      </c>
      <c r="L51" s="104">
        <f>IF(ISERROR(L48/L24),0,L48/L24)</f>
        <v>165600.00000000076</v>
      </c>
      <c r="M51" s="102">
        <f>IF(ISERROR(M48/M24),0,M48/M24)</f>
        <v>165600.00000000076</v>
      </c>
      <c r="N51" s="2"/>
      <c r="O51" s="88" t="s">
        <v>158</v>
      </c>
      <c r="P51" s="196">
        <v>0</v>
      </c>
      <c r="Q51" s="95">
        <v>0</v>
      </c>
      <c r="R51" s="123">
        <f>IF(ISERROR(1000/Q51),0,(1000/Q51))</f>
        <v>0</v>
      </c>
      <c r="S51" s="123">
        <f>+IF(Q51&lt;$E$27,IF(ISERROR(P51/Q51),0,P51/Q51),0)</f>
        <v>0</v>
      </c>
      <c r="T51" s="2"/>
      <c r="U51" s="2"/>
      <c r="V51" s="2"/>
      <c r="W51" s="2"/>
      <c r="X51" s="2"/>
      <c r="Y51" s="2"/>
      <c r="Z51" s="2"/>
    </row>
    <row r="52" spans="1:26" ht="15" customHeight="1" x14ac:dyDescent="0.2">
      <c r="A52" s="2"/>
      <c r="B52" s="221" t="s">
        <v>159</v>
      </c>
      <c r="C52" s="216"/>
      <c r="D52" s="216"/>
      <c r="E52" s="172"/>
      <c r="F52" s="130"/>
      <c r="G52" s="2"/>
      <c r="H52" s="2"/>
      <c r="I52" s="2"/>
      <c r="J52" s="2"/>
      <c r="K52" s="2"/>
      <c r="L52" s="2"/>
      <c r="M52" s="2"/>
      <c r="N52" s="2"/>
      <c r="O52" s="88" t="s">
        <v>160</v>
      </c>
      <c r="P52" s="131">
        <v>0</v>
      </c>
      <c r="Q52" s="101">
        <v>0</v>
      </c>
      <c r="R52" s="123">
        <f>IF(ISERROR(1000/Q52),0,(1000/Q52))</f>
        <v>0</v>
      </c>
      <c r="S52" s="123">
        <f>+IF(Q52&lt;$E$27,IF(ISERROR(P52/Q52),0,P52/Q52),0)</f>
        <v>0</v>
      </c>
      <c r="T52" s="2"/>
      <c r="U52" s="2"/>
      <c r="V52" s="2"/>
      <c r="W52" s="2"/>
      <c r="X52" s="2"/>
      <c r="Y52" s="2"/>
      <c r="Z52" s="2"/>
    </row>
    <row r="53" spans="1:26" ht="15" customHeight="1" x14ac:dyDescent="0.2">
      <c r="A53" s="2"/>
      <c r="B53" s="88" t="s">
        <v>156</v>
      </c>
      <c r="C53" s="88"/>
      <c r="D53" s="144">
        <v>1592307.692307692</v>
      </c>
      <c r="E53" s="208">
        <v>0.13500000000000001</v>
      </c>
      <c r="F53" s="2"/>
      <c r="G53" s="220" t="s">
        <v>161</v>
      </c>
      <c r="H53" s="216"/>
      <c r="I53" s="216"/>
      <c r="J53" s="216"/>
      <c r="K53" s="216"/>
      <c r="L53" s="216"/>
      <c r="M53" s="216"/>
      <c r="N53" s="2"/>
      <c r="O53" s="88" t="s">
        <v>162</v>
      </c>
      <c r="P53" s="131">
        <v>0</v>
      </c>
      <c r="Q53" s="101">
        <v>0</v>
      </c>
      <c r="R53" s="123">
        <f>IF(ISERROR(1000/Q53),0,(1000/Q53))</f>
        <v>0</v>
      </c>
      <c r="S53" s="123">
        <f>+IF(Q53&lt;$E$27,IF(ISERROR(P53/Q53),0,P53/Q53),0)</f>
        <v>0</v>
      </c>
      <c r="T53" s="2"/>
      <c r="U53" s="2"/>
      <c r="V53" s="2"/>
      <c r="W53" s="2"/>
      <c r="X53" s="2"/>
      <c r="Y53" s="2"/>
      <c r="Z53" s="2"/>
    </row>
    <row r="54" spans="1:26" ht="12.75" customHeight="1" x14ac:dyDescent="0.2">
      <c r="A54" s="2"/>
      <c r="B54" s="88" t="s">
        <v>163</v>
      </c>
      <c r="C54" s="88"/>
      <c r="D54" s="146">
        <v>1629921.2598425201</v>
      </c>
      <c r="E54" s="208">
        <v>0.10400000000000001</v>
      </c>
      <c r="F54" s="2"/>
      <c r="G54" s="88" t="s">
        <v>123</v>
      </c>
      <c r="H54" s="88"/>
      <c r="I54" s="88"/>
      <c r="J54" s="157">
        <v>51750</v>
      </c>
      <c r="K54" s="197">
        <v>51750</v>
      </c>
      <c r="L54" s="198">
        <v>51750</v>
      </c>
      <c r="M54" s="163">
        <f>J54+L54-K54</f>
        <v>51750</v>
      </c>
      <c r="N54" s="2"/>
      <c r="O54" s="88" t="s">
        <v>164</v>
      </c>
      <c r="P54" s="131">
        <v>0</v>
      </c>
      <c r="Q54" s="101">
        <v>0</v>
      </c>
      <c r="R54" s="123">
        <f>IF(ISERROR(1000/Q54),0,(1000/Q54))</f>
        <v>0</v>
      </c>
      <c r="S54" s="123">
        <f>+IF(Q54&lt;$E$27,IF(ISERROR(P54/Q54),0,P54/Q54),0)</f>
        <v>0</v>
      </c>
      <c r="T54" s="2"/>
      <c r="U54" s="2"/>
      <c r="V54" s="2"/>
      <c r="W54" s="2"/>
      <c r="X54" s="2"/>
      <c r="Y54" s="2"/>
      <c r="Z54" s="2"/>
    </row>
    <row r="55" spans="1:26" ht="15" customHeight="1" x14ac:dyDescent="0.2">
      <c r="A55" s="2"/>
      <c r="B55" s="88" t="s">
        <v>165</v>
      </c>
      <c r="C55" s="88"/>
      <c r="D55" s="146">
        <v>1689795.918367347</v>
      </c>
      <c r="E55" s="208">
        <v>8.3000000000000004E-2</v>
      </c>
      <c r="F55" s="2"/>
      <c r="G55" s="94" t="s">
        <v>166</v>
      </c>
      <c r="H55" s="94"/>
      <c r="I55" s="94"/>
      <c r="J55" s="199">
        <f>IF(ISERROR(J54/J10),"NA",J54/J10)</f>
        <v>2.7499999999999997E-2</v>
      </c>
      <c r="K55" s="200">
        <f>IF(ISERROR(K54/K10),"NA",K54/K10)</f>
        <v>2.7499999999999997E-2</v>
      </c>
      <c r="L55" s="201">
        <f>IF(ISERROR(L54/L10),"NA",L54/L10)</f>
        <v>2.7499999999999997E-2</v>
      </c>
      <c r="M55" s="199">
        <f>IF(ISERROR(M54/M10),"NA",M54/M10)</f>
        <v>2.7499999999999997E-2</v>
      </c>
      <c r="N55" s="2"/>
      <c r="O55" s="88" t="s">
        <v>167</v>
      </c>
      <c r="P55" s="132">
        <v>0</v>
      </c>
      <c r="Q55" s="125">
        <v>0</v>
      </c>
      <c r="R55" s="126">
        <f>IF(ISERROR(1000/Q55),0,(1000/Q55))</f>
        <v>0</v>
      </c>
      <c r="S55" s="126">
        <f>+IF(Q55&lt;$E$27,IF(ISERROR(P55/Q55),0,P55/Q55),0)</f>
        <v>0</v>
      </c>
      <c r="T55" s="2"/>
      <c r="U55" s="2"/>
      <c r="V55" s="2"/>
      <c r="W55" s="2"/>
      <c r="X55" s="2"/>
      <c r="Y55" s="2"/>
      <c r="Z55" s="2"/>
    </row>
    <row r="56" spans="1:26" ht="15" customHeight="1" x14ac:dyDescent="0.2">
      <c r="A56" s="2"/>
      <c r="B56" s="2"/>
      <c r="C56" s="2"/>
      <c r="D56" s="2"/>
      <c r="E56" s="2"/>
      <c r="F56" s="130"/>
      <c r="G56" s="88" t="s">
        <v>168</v>
      </c>
      <c r="H56" s="88"/>
      <c r="I56" s="88"/>
      <c r="J56" s="157">
        <v>47045.454545454537</v>
      </c>
      <c r="K56" s="158">
        <v>47045.454545454537</v>
      </c>
      <c r="L56" s="159">
        <v>47045.454545454537</v>
      </c>
      <c r="M56" s="163">
        <f>J56+L56-K56</f>
        <v>47045.454545454537</v>
      </c>
      <c r="N56" s="2"/>
      <c r="O56" s="87" t="s">
        <v>144</v>
      </c>
      <c r="P56" s="133"/>
      <c r="Q56" s="202"/>
      <c r="R56" s="133"/>
      <c r="S56" s="115">
        <f>SUM(S51:S55)</f>
        <v>0</v>
      </c>
      <c r="T56" s="2"/>
      <c r="U56" s="2"/>
      <c r="V56" s="2"/>
      <c r="W56" s="2"/>
      <c r="X56" s="2"/>
      <c r="Y56" s="2"/>
      <c r="Z56" s="2"/>
    </row>
    <row r="57" spans="1:26" ht="15" customHeight="1" x14ac:dyDescent="0.2">
      <c r="A57" s="2"/>
      <c r="B57" s="220" t="s">
        <v>169</v>
      </c>
      <c r="C57" s="216"/>
      <c r="D57" s="216"/>
      <c r="E57" s="216"/>
      <c r="F57" s="2"/>
      <c r="G57" s="94" t="s">
        <v>166</v>
      </c>
      <c r="H57" s="94"/>
      <c r="I57" s="94"/>
      <c r="J57" s="199">
        <f>IF(ISERROR(J56/J10),"NA",J56/J10)</f>
        <v>2.4999999999999991E-2</v>
      </c>
      <c r="K57" s="203">
        <f>IF(ISERROR(K56/K10),"NA",K56/K10)</f>
        <v>2.4999999999999991E-2</v>
      </c>
      <c r="L57" s="204">
        <f>IF(ISERROR(L56/L10),"NA",L56/L10)</f>
        <v>2.4999999999999991E-2</v>
      </c>
      <c r="M57" s="199">
        <f>IF(ISERROR(M56/M10),"NA",M56/M10)</f>
        <v>2.4999999999999991E-2</v>
      </c>
      <c r="N57" s="2"/>
      <c r="O57" s="87"/>
      <c r="P57" s="133"/>
      <c r="Q57" s="202"/>
      <c r="R57" s="133"/>
      <c r="S57" s="115"/>
      <c r="T57" s="2"/>
      <c r="U57" s="2"/>
      <c r="V57" s="2"/>
      <c r="W57" s="2"/>
      <c r="X57" s="2"/>
      <c r="Y57" s="2"/>
      <c r="Z57" s="2"/>
    </row>
    <row r="58" spans="1:26" ht="15" customHeight="1" x14ac:dyDescent="0.2">
      <c r="A58" s="2"/>
      <c r="B58" s="88"/>
      <c r="C58" s="88"/>
      <c r="D58" s="129" t="s">
        <v>170</v>
      </c>
      <c r="E58" s="129" t="s">
        <v>171</v>
      </c>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88" t="str">
        <f>""&amp;E7&amp;" 10-K"</f>
        <v>Bien Hoa Packaging (SVI) 10-K</v>
      </c>
      <c r="C59" s="93"/>
      <c r="D59" s="134" t="s">
        <v>172</v>
      </c>
      <c r="E59" s="134">
        <v>44183</v>
      </c>
      <c r="F59" s="2"/>
      <c r="G59" s="220" t="s">
        <v>173</v>
      </c>
      <c r="H59" s="216"/>
      <c r="I59" s="216"/>
      <c r="J59" s="216"/>
      <c r="K59" s="216"/>
      <c r="L59" s="216"/>
      <c r="M59" s="216"/>
      <c r="N59" s="216"/>
      <c r="O59" s="216"/>
      <c r="P59" s="216"/>
      <c r="Q59" s="216"/>
      <c r="R59" s="216"/>
      <c r="S59" s="216"/>
      <c r="T59" s="2"/>
      <c r="U59" s="2"/>
      <c r="V59" s="2"/>
      <c r="W59" s="2"/>
      <c r="X59" s="2"/>
      <c r="Y59" s="2"/>
      <c r="Z59" s="2"/>
    </row>
    <row r="60" spans="1:26" ht="12.75" customHeight="1" x14ac:dyDescent="0.2">
      <c r="A60" s="2"/>
      <c r="B60" s="88" t="str">
        <f>""&amp;E7&amp;" 10-Q"</f>
        <v>Bien Hoa Packaging (SVI) 10-Q</v>
      </c>
      <c r="C60" s="93"/>
      <c r="D60" s="134">
        <v>0</v>
      </c>
      <c r="E60" s="134">
        <v>0</v>
      </c>
      <c r="F60" s="2"/>
      <c r="G60" s="135" t="s">
        <v>204</v>
      </c>
      <c r="H60" s="89"/>
      <c r="I60" s="89"/>
      <c r="J60" s="136"/>
      <c r="K60" s="89"/>
      <c r="L60" s="89"/>
      <c r="M60" s="89"/>
      <c r="N60" s="89"/>
      <c r="O60" s="89"/>
      <c r="P60" s="89"/>
      <c r="Q60" s="89"/>
      <c r="R60" s="89"/>
      <c r="S60" s="89"/>
      <c r="T60" s="2"/>
      <c r="U60" s="2"/>
      <c r="V60" s="2"/>
      <c r="W60" s="2"/>
      <c r="X60" s="2"/>
      <c r="Y60" s="2"/>
      <c r="Z60" s="2"/>
    </row>
    <row r="61" spans="1:26" ht="12.75" customHeight="1" x14ac:dyDescent="0.2">
      <c r="A61" s="2"/>
      <c r="B61" s="88" t="str">
        <f>""&amp;E7&amp;" 8-K"</f>
        <v>Bien Hoa Packaging (SVI) 8-K</v>
      </c>
      <c r="C61" s="93"/>
      <c r="D61" s="137"/>
      <c r="E61" s="134">
        <v>0</v>
      </c>
      <c r="F61" s="2"/>
      <c r="G61" s="135" t="s">
        <v>175</v>
      </c>
      <c r="H61" s="89"/>
      <c r="I61" s="89"/>
      <c r="J61" s="136"/>
      <c r="K61" s="89"/>
      <c r="L61" s="89"/>
      <c r="M61" s="89"/>
      <c r="N61" s="89"/>
      <c r="O61" s="89"/>
      <c r="P61" s="89"/>
      <c r="Q61" s="89"/>
      <c r="R61" s="89"/>
      <c r="S61" s="89"/>
      <c r="T61" s="2"/>
      <c r="U61" s="2"/>
      <c r="V61" s="2"/>
      <c r="W61" s="2"/>
      <c r="X61" s="2"/>
      <c r="Y61" s="2"/>
      <c r="Z61" s="2"/>
    </row>
    <row r="62" spans="1:26" ht="15" customHeight="1" x14ac:dyDescent="0.2">
      <c r="A62" s="25"/>
      <c r="B62" s="88" t="str">
        <f>""&amp;E7&amp;" DEFM14A"</f>
        <v>Bien Hoa Packaging (SVI) DEFM14A</v>
      </c>
      <c r="C62" s="93"/>
      <c r="D62" s="137"/>
      <c r="E62" s="134">
        <v>0</v>
      </c>
      <c r="F62" s="2"/>
      <c r="G62" s="135" t="s">
        <v>176</v>
      </c>
      <c r="H62" s="89"/>
      <c r="I62" s="89"/>
      <c r="J62" s="89"/>
      <c r="K62" s="89"/>
      <c r="L62" s="89"/>
      <c r="M62" s="89"/>
      <c r="N62" s="89"/>
      <c r="O62" s="89"/>
      <c r="P62" s="89"/>
      <c r="Q62" s="89"/>
      <c r="R62" s="89"/>
      <c r="S62" s="89"/>
      <c r="T62" s="138"/>
      <c r="U62" s="138"/>
      <c r="V62" s="2"/>
      <c r="W62" s="2"/>
      <c r="X62" s="2"/>
      <c r="Y62" s="2"/>
      <c r="Z62" s="2"/>
    </row>
    <row r="63" spans="1:26" ht="12.75" customHeight="1" x14ac:dyDescent="0.2">
      <c r="A63" s="2"/>
      <c r="B63" s="88" t="str">
        <f>""&amp;E12&amp;" 424B"</f>
        <v>Thai Containers Group / SCGP 424B</v>
      </c>
      <c r="C63" s="88"/>
      <c r="D63" s="137"/>
      <c r="E63" s="134">
        <v>0</v>
      </c>
      <c r="F63" s="2"/>
      <c r="G63" s="135" t="s">
        <v>177</v>
      </c>
      <c r="H63" s="89"/>
      <c r="I63" s="89"/>
      <c r="J63" s="89"/>
      <c r="K63" s="89"/>
      <c r="L63" s="89"/>
      <c r="M63" s="89"/>
      <c r="N63" s="89"/>
      <c r="O63" s="89"/>
      <c r="P63" s="89"/>
      <c r="Q63" s="89"/>
      <c r="R63" s="89"/>
      <c r="S63" s="89"/>
      <c r="T63" s="25"/>
      <c r="U63" s="25"/>
      <c r="V63" s="2"/>
      <c r="W63" s="2"/>
      <c r="X63" s="2"/>
      <c r="Y63" s="2"/>
      <c r="Z63" s="2"/>
    </row>
    <row r="64" spans="1:26" ht="12.75" customHeight="1" x14ac:dyDescent="0.2">
      <c r="A64" s="2"/>
      <c r="B64" s="88" t="str">
        <f>""&amp;E12&amp;" 8-K"</f>
        <v>Thai Containers Group / SCGP 8-K</v>
      </c>
      <c r="C64" s="88"/>
      <c r="D64" s="137"/>
      <c r="E64" s="134">
        <v>0</v>
      </c>
      <c r="F64" s="2"/>
      <c r="G64" s="89" t="s">
        <v>178</v>
      </c>
      <c r="H64" s="89"/>
      <c r="I64" s="89"/>
      <c r="J64" s="89"/>
      <c r="K64" s="89"/>
      <c r="L64" s="89"/>
      <c r="M64" s="89"/>
      <c r="N64" s="89"/>
      <c r="O64" s="89"/>
      <c r="P64" s="89"/>
      <c r="Q64" s="89"/>
      <c r="R64" s="89"/>
      <c r="S64" s="89"/>
      <c r="T64" s="25"/>
      <c r="U64" s="25"/>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139"/>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39"/>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140"/>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05"/>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3">
    <mergeCell ref="G59:S59"/>
    <mergeCell ref="O22:S22"/>
    <mergeCell ref="B22:E22"/>
    <mergeCell ref="G27:M27"/>
    <mergeCell ref="O7:S12"/>
    <mergeCell ref="B50:D50"/>
    <mergeCell ref="B21:E21"/>
    <mergeCell ref="O23:S28"/>
    <mergeCell ref="B39:E39"/>
    <mergeCell ref="G53:M53"/>
    <mergeCell ref="B57:E57"/>
    <mergeCell ref="O48:S48"/>
    <mergeCell ref="O15:S20"/>
    <mergeCell ref="O38:S38"/>
    <mergeCell ref="B52:D52"/>
    <mergeCell ref="O14:S14"/>
    <mergeCell ref="B49:E49"/>
    <mergeCell ref="B6:E6"/>
    <mergeCell ref="O6:S6"/>
    <mergeCell ref="O30:S30"/>
    <mergeCell ref="B32:E32"/>
    <mergeCell ref="G6:M6"/>
    <mergeCell ref="G9:H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Valuation Summary</vt:lpstr>
      <vt:lpstr>List</vt:lpstr>
      <vt:lpstr>Output</vt:lpstr>
      <vt:lpstr>ACQR;TRGT 1</vt:lpstr>
      <vt:lpstr>ACQR;TRGT 2</vt:lpstr>
      <vt:lpstr>ACQR;TRGT 3</vt:lpstr>
      <vt:lpstr>ACQR;TRGT 4</vt:lpstr>
      <vt:lpstr>ACQR;TRGT 5</vt:lpstr>
      <vt:lpstr>ACQR;TRGT 6</vt:lpstr>
      <vt:lpstr>ACQR;TRGT 7</vt:lpstr>
      <vt:lpstr>ACQR;TRGT 8</vt:lpstr>
      <vt:lpstr>ACQR;TRGT 9</vt:lpstr>
      <vt:lpstr>ACQR;TRGT 10</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Mansolillo, Chris</dc:creator>
  <cp:lastModifiedBy>Nguyễn Vũ Trường Huy</cp:lastModifiedBy>
  <dcterms:created xsi:type="dcterms:W3CDTF">2008-11-06T16:30:05Z</dcterms:created>
  <dcterms:modified xsi:type="dcterms:W3CDTF">2026-06-11T14:02:44Z</dcterms:modified>
</cp:coreProperties>
</file>