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Work\Web\portfolio\public\research\valuation-models\"/>
    </mc:Choice>
  </mc:AlternateContent>
  <xr:revisionPtr revIDLastSave="0" documentId="13_ncr:1_{EA9D8F39-3978-4796-B01E-AA84F3431262}" xr6:coauthVersionLast="47" xr6:coauthVersionMax="47" xr10:uidLastSave="{00000000-0000-0000-0000-000000000000}"/>
  <bookViews>
    <workbookView xWindow="-120" yWindow="-120" windowWidth="38640" windowHeight="21120" xr2:uid="{00000000-000D-0000-FFFF-FFFF00000000}"/>
  </bookViews>
  <sheets>
    <sheet name="Valuation Summary" sheetId="1" r:id="rId1"/>
    <sheet name="List" sheetId="2" r:id="rId2"/>
    <sheet name="Benchmarking 1" sheetId="3" r:id="rId3"/>
    <sheet name="Benchmarking 2" sheetId="4" r:id="rId4"/>
    <sheet name="Ouput" sheetId="5" r:id="rId5"/>
    <sheet name="TargetCo" sheetId="6" r:id="rId6"/>
    <sheet name="CompCo 1" sheetId="7" r:id="rId7"/>
    <sheet name="CompCo 2" sheetId="8" r:id="rId8"/>
    <sheet name="CompCo 3" sheetId="9" r:id="rId9"/>
    <sheet name="CompCo 4" sheetId="10" r:id="rId10"/>
    <sheet name="CompCo 5" sheetId="11" r:id="rId11"/>
    <sheet name="CompCo 6" sheetId="12" r:id="rId12"/>
    <sheet name="CompCo 7" sheetId="13" r:id="rId13"/>
    <sheet name="CompCo 8" sheetId="14" r:id="rId14"/>
    <sheet name="CompCo 9" sheetId="15" r:id="rId15"/>
    <sheet name="CompCo 10" sheetId="16" r:id="rId16"/>
    <sheet name="CompCo 11" sheetId="17" r:id="rId17"/>
    <sheet name="CompCo 12" sheetId="18" r:id="rId18"/>
    <sheet name="CompCo 13" sheetId="19" r:id="rId19"/>
    <sheet name="CompCo 14" sheetId="20" r:id="rId20"/>
    <sheet name="CompCo 15" sheetId="21" r:id="rId21"/>
    <sheet name="Sources" sheetId="22" r:id="rId22"/>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5" i="21" l="1"/>
  <c r="C64" i="21"/>
  <c r="C62" i="21"/>
  <c r="C61" i="21"/>
  <c r="T59" i="21"/>
  <c r="S59" i="21"/>
  <c r="M59" i="21"/>
  <c r="L59" i="21"/>
  <c r="K59" i="21"/>
  <c r="J59" i="21"/>
  <c r="I59" i="21"/>
  <c r="T58" i="21"/>
  <c r="S58" i="21"/>
  <c r="N58" i="21"/>
  <c r="T57" i="21"/>
  <c r="S57" i="21"/>
  <c r="M57" i="21"/>
  <c r="L57" i="21"/>
  <c r="K57" i="21"/>
  <c r="J57" i="21"/>
  <c r="I57" i="21"/>
  <c r="T56" i="21"/>
  <c r="S56" i="21"/>
  <c r="N56" i="21"/>
  <c r="N40" i="21" s="1"/>
  <c r="I38" i="3" s="1"/>
  <c r="T55" i="21"/>
  <c r="S55" i="21"/>
  <c r="E51" i="21"/>
  <c r="Q50" i="21"/>
  <c r="S49" i="21"/>
  <c r="T49" i="21" s="1"/>
  <c r="S48" i="21"/>
  <c r="T48" i="21" s="1"/>
  <c r="E48" i="21"/>
  <c r="J38" i="4" s="1"/>
  <c r="S47" i="21"/>
  <c r="T47" i="21" s="1"/>
  <c r="N47" i="21"/>
  <c r="S46" i="21"/>
  <c r="T46" i="21" s="1"/>
  <c r="M46" i="21"/>
  <c r="L46" i="21"/>
  <c r="K46" i="21"/>
  <c r="J46" i="21"/>
  <c r="I46" i="21"/>
  <c r="S45" i="21"/>
  <c r="M45" i="21"/>
  <c r="L45" i="21"/>
  <c r="K45" i="21"/>
  <c r="J45" i="21"/>
  <c r="I45" i="21"/>
  <c r="E41" i="21"/>
  <c r="Z37" i="5" s="1"/>
  <c r="D41" i="21"/>
  <c r="Y37" i="5" s="1"/>
  <c r="M40" i="21"/>
  <c r="L40" i="21"/>
  <c r="K40" i="21"/>
  <c r="J40" i="21"/>
  <c r="I40" i="21"/>
  <c r="N36" i="21"/>
  <c r="N46" i="21" s="1"/>
  <c r="M35" i="21"/>
  <c r="L35" i="21"/>
  <c r="K35" i="21"/>
  <c r="J35" i="21"/>
  <c r="I35" i="21"/>
  <c r="D34" i="21"/>
  <c r="E34" i="21" s="1"/>
  <c r="C33" i="21"/>
  <c r="N30" i="21"/>
  <c r="E29" i="21"/>
  <c r="E28" i="21"/>
  <c r="E27" i="21"/>
  <c r="E26" i="21"/>
  <c r="N24" i="21"/>
  <c r="T22" i="21"/>
  <c r="T26" i="21" s="1"/>
  <c r="T31" i="21" s="1"/>
  <c r="S22" i="21"/>
  <c r="S26" i="21" s="1"/>
  <c r="S31" i="21" s="1"/>
  <c r="N20" i="21"/>
  <c r="N19" i="21"/>
  <c r="N18" i="21"/>
  <c r="E18" i="21"/>
  <c r="E37" i="5" s="1"/>
  <c r="N16" i="21"/>
  <c r="N14" i="21"/>
  <c r="N13" i="21"/>
  <c r="T12" i="21"/>
  <c r="T17" i="21" s="1"/>
  <c r="S12" i="21"/>
  <c r="S17" i="21" s="1"/>
  <c r="M12" i="21"/>
  <c r="M29" i="21" s="1"/>
  <c r="M31" i="21" s="1"/>
  <c r="M32" i="21" s="1"/>
  <c r="L12" i="21"/>
  <c r="K12" i="21"/>
  <c r="K29" i="21" s="1"/>
  <c r="K31" i="21" s="1"/>
  <c r="K32" i="21" s="1"/>
  <c r="J12" i="21"/>
  <c r="J29" i="21" s="1"/>
  <c r="J31" i="21" s="1"/>
  <c r="J32" i="21" s="1"/>
  <c r="I12" i="21"/>
  <c r="I29" i="21" s="1"/>
  <c r="I31" i="21" s="1"/>
  <c r="I32" i="21" s="1"/>
  <c r="N11" i="21"/>
  <c r="N10" i="21"/>
  <c r="C36" i="21" s="1"/>
  <c r="N9" i="21"/>
  <c r="T7" i="21" s="1"/>
  <c r="I8" i="21"/>
  <c r="S7" i="21"/>
  <c r="A1" i="21"/>
  <c r="C65" i="20"/>
  <c r="C64" i="20"/>
  <c r="C62" i="20"/>
  <c r="C61" i="20"/>
  <c r="R37" i="3" s="1"/>
  <c r="T59" i="20"/>
  <c r="S59" i="20"/>
  <c r="M59" i="20"/>
  <c r="L59" i="20"/>
  <c r="K59" i="20"/>
  <c r="J59" i="20"/>
  <c r="I59" i="20"/>
  <c r="T58" i="20"/>
  <c r="S58" i="20"/>
  <c r="N58" i="20"/>
  <c r="T57" i="20"/>
  <c r="S57" i="20"/>
  <c r="M57" i="20"/>
  <c r="L57" i="20"/>
  <c r="K57" i="20"/>
  <c r="J57" i="20"/>
  <c r="I57" i="20"/>
  <c r="T56" i="20"/>
  <c r="S56" i="20"/>
  <c r="N56" i="20"/>
  <c r="N40" i="20" s="1"/>
  <c r="I37" i="3" s="1"/>
  <c r="T55" i="20"/>
  <c r="S55" i="20"/>
  <c r="E51" i="20"/>
  <c r="L37" i="4" s="1"/>
  <c r="Q50" i="20"/>
  <c r="S49" i="20"/>
  <c r="T49" i="20" s="1"/>
  <c r="S48" i="20"/>
  <c r="T48" i="20" s="1"/>
  <c r="E48" i="20"/>
  <c r="J37" i="4" s="1"/>
  <c r="S47" i="20"/>
  <c r="T47" i="20" s="1"/>
  <c r="N47" i="20"/>
  <c r="S46" i="20"/>
  <c r="T46" i="20" s="1"/>
  <c r="M46" i="20"/>
  <c r="L46" i="20"/>
  <c r="K46" i="20"/>
  <c r="J46" i="20"/>
  <c r="I46" i="20"/>
  <c r="S45" i="20"/>
  <c r="M45" i="20"/>
  <c r="L45" i="20"/>
  <c r="K45" i="20"/>
  <c r="J45" i="20"/>
  <c r="I45" i="20"/>
  <c r="E41" i="20"/>
  <c r="D41" i="20"/>
  <c r="M40" i="20"/>
  <c r="L40" i="20"/>
  <c r="K40" i="20"/>
  <c r="J40" i="20"/>
  <c r="I40" i="20"/>
  <c r="N36" i="20"/>
  <c r="N46" i="20" s="1"/>
  <c r="M35" i="20"/>
  <c r="L35" i="20"/>
  <c r="K35" i="20"/>
  <c r="J35" i="20"/>
  <c r="I35" i="20"/>
  <c r="D34" i="20"/>
  <c r="E34" i="20" s="1"/>
  <c r="C33" i="20"/>
  <c r="N30" i="20"/>
  <c r="N35" i="20" s="1"/>
  <c r="E29" i="20"/>
  <c r="E28" i="20"/>
  <c r="E27" i="20"/>
  <c r="E26" i="20"/>
  <c r="N24" i="20"/>
  <c r="T22" i="20"/>
  <c r="T26" i="20" s="1"/>
  <c r="T31" i="20" s="1"/>
  <c r="S22" i="20"/>
  <c r="S26" i="20" s="1"/>
  <c r="S31" i="20" s="1"/>
  <c r="N20" i="20"/>
  <c r="N19" i="20"/>
  <c r="N18" i="20"/>
  <c r="E18" i="20"/>
  <c r="N16" i="20"/>
  <c r="N14" i="20"/>
  <c r="N13" i="20"/>
  <c r="T12" i="20"/>
  <c r="T17" i="20" s="1"/>
  <c r="S12" i="20"/>
  <c r="S17" i="20" s="1"/>
  <c r="M12" i="20"/>
  <c r="L12" i="20"/>
  <c r="L15" i="20" s="1"/>
  <c r="K12" i="20"/>
  <c r="K29" i="20" s="1"/>
  <c r="K31" i="20" s="1"/>
  <c r="K32" i="20" s="1"/>
  <c r="J12" i="20"/>
  <c r="I12" i="20"/>
  <c r="N11" i="20"/>
  <c r="N10" i="20"/>
  <c r="G37" i="3" s="1"/>
  <c r="N9" i="20"/>
  <c r="C34" i="20" s="1"/>
  <c r="I8" i="20"/>
  <c r="S7" i="20"/>
  <c r="A1" i="20"/>
  <c r="C65" i="19"/>
  <c r="C64" i="19"/>
  <c r="S36" i="3" s="1"/>
  <c r="C62" i="19"/>
  <c r="C61" i="19"/>
  <c r="R36" i="3" s="1"/>
  <c r="T59" i="19"/>
  <c r="S59" i="19"/>
  <c r="M59" i="19"/>
  <c r="L59" i="19"/>
  <c r="K59" i="19"/>
  <c r="J59" i="19"/>
  <c r="I59" i="19"/>
  <c r="T58" i="19"/>
  <c r="S58" i="19"/>
  <c r="N58" i="19"/>
  <c r="T57" i="19"/>
  <c r="S57" i="19"/>
  <c r="M57" i="19"/>
  <c r="L57" i="19"/>
  <c r="K57" i="19"/>
  <c r="J57" i="19"/>
  <c r="I57" i="19"/>
  <c r="T56" i="19"/>
  <c r="S56" i="19"/>
  <c r="N56" i="19"/>
  <c r="T55" i="19"/>
  <c r="S55" i="19"/>
  <c r="E51" i="19"/>
  <c r="L36" i="4" s="1"/>
  <c r="Q50" i="19"/>
  <c r="S49" i="19"/>
  <c r="T49" i="19" s="1"/>
  <c r="S48" i="19"/>
  <c r="T48" i="19" s="1"/>
  <c r="E48" i="19"/>
  <c r="J36" i="4" s="1"/>
  <c r="S47" i="19"/>
  <c r="T47" i="19" s="1"/>
  <c r="N47" i="19"/>
  <c r="S46" i="19"/>
  <c r="T46" i="19" s="1"/>
  <c r="M46" i="19"/>
  <c r="L46" i="19"/>
  <c r="K46" i="19"/>
  <c r="J46" i="19"/>
  <c r="I46" i="19"/>
  <c r="S45" i="19"/>
  <c r="T45" i="19" s="1"/>
  <c r="M45" i="19"/>
  <c r="L45" i="19"/>
  <c r="K45" i="19"/>
  <c r="J45" i="19"/>
  <c r="I45" i="19"/>
  <c r="E41" i="19"/>
  <c r="D41" i="19"/>
  <c r="M40" i="19"/>
  <c r="L40" i="19"/>
  <c r="K40" i="19"/>
  <c r="J40" i="19"/>
  <c r="I40" i="19"/>
  <c r="N36" i="19"/>
  <c r="N46" i="19" s="1"/>
  <c r="M35" i="19"/>
  <c r="L35" i="19"/>
  <c r="K35" i="19"/>
  <c r="J35" i="19"/>
  <c r="I35" i="19"/>
  <c r="D34" i="19"/>
  <c r="E34" i="19" s="1"/>
  <c r="C33" i="19"/>
  <c r="N30" i="19"/>
  <c r="N35" i="19" s="1"/>
  <c r="E29" i="19"/>
  <c r="E28" i="19"/>
  <c r="E27" i="19"/>
  <c r="E26" i="19"/>
  <c r="N24" i="19"/>
  <c r="T22" i="19"/>
  <c r="T26" i="19" s="1"/>
  <c r="T31" i="19" s="1"/>
  <c r="S22" i="19"/>
  <c r="S26" i="19" s="1"/>
  <c r="S31" i="19" s="1"/>
  <c r="N20" i="19"/>
  <c r="N19" i="19"/>
  <c r="N18" i="19"/>
  <c r="E18" i="19"/>
  <c r="E35" i="5" s="1"/>
  <c r="N16" i="19"/>
  <c r="N14" i="19"/>
  <c r="N13" i="19"/>
  <c r="T12" i="19"/>
  <c r="T17" i="19" s="1"/>
  <c r="S12" i="19"/>
  <c r="S17" i="19" s="1"/>
  <c r="M12" i="19"/>
  <c r="M29" i="19" s="1"/>
  <c r="M31" i="19" s="1"/>
  <c r="M32" i="19" s="1"/>
  <c r="L12" i="19"/>
  <c r="L29" i="19" s="1"/>
  <c r="L31" i="19" s="1"/>
  <c r="L32" i="19" s="1"/>
  <c r="K12" i="19"/>
  <c r="K29" i="19" s="1"/>
  <c r="K31" i="19" s="1"/>
  <c r="K32" i="19" s="1"/>
  <c r="J12" i="19"/>
  <c r="I12" i="19"/>
  <c r="N11" i="19"/>
  <c r="N10" i="19"/>
  <c r="C36" i="19" s="1"/>
  <c r="N9" i="19"/>
  <c r="I8" i="19"/>
  <c r="S7" i="19"/>
  <c r="A1" i="19"/>
  <c r="C65" i="18"/>
  <c r="C64" i="18"/>
  <c r="C62" i="18"/>
  <c r="C61" i="18"/>
  <c r="T59" i="18"/>
  <c r="S59" i="18"/>
  <c r="M59" i="18"/>
  <c r="L59" i="18"/>
  <c r="K59" i="18"/>
  <c r="J59" i="18"/>
  <c r="I59" i="18"/>
  <c r="T58" i="18"/>
  <c r="S58" i="18"/>
  <c r="N58" i="18"/>
  <c r="T57" i="18"/>
  <c r="S57" i="18"/>
  <c r="M57" i="18"/>
  <c r="L57" i="18"/>
  <c r="K57" i="18"/>
  <c r="J57" i="18"/>
  <c r="I57" i="18"/>
  <c r="T56" i="18"/>
  <c r="S56" i="18"/>
  <c r="N56" i="18"/>
  <c r="N40" i="18" s="1"/>
  <c r="I35" i="3" s="1"/>
  <c r="T55" i="18"/>
  <c r="S55" i="18"/>
  <c r="E51" i="18"/>
  <c r="Q50" i="18"/>
  <c r="S49" i="18"/>
  <c r="T49" i="18" s="1"/>
  <c r="S48" i="18"/>
  <c r="T48" i="18" s="1"/>
  <c r="E48" i="18"/>
  <c r="J35" i="4" s="1"/>
  <c r="S47" i="18"/>
  <c r="T47" i="18" s="1"/>
  <c r="N47" i="18"/>
  <c r="S46" i="18"/>
  <c r="T46" i="18" s="1"/>
  <c r="M46" i="18"/>
  <c r="L46" i="18"/>
  <c r="K46" i="18"/>
  <c r="J46" i="18"/>
  <c r="I46" i="18"/>
  <c r="S45" i="18"/>
  <c r="M45" i="18"/>
  <c r="L45" i="18"/>
  <c r="K45" i="18"/>
  <c r="J45" i="18"/>
  <c r="I45" i="18"/>
  <c r="E41" i="18"/>
  <c r="Z34" i="5" s="1"/>
  <c r="D41" i="18"/>
  <c r="Y34" i="5" s="1"/>
  <c r="M40" i="18"/>
  <c r="L40" i="18"/>
  <c r="K40" i="18"/>
  <c r="J40" i="18"/>
  <c r="I40" i="18"/>
  <c r="N36" i="18"/>
  <c r="N46" i="18" s="1"/>
  <c r="M35" i="18"/>
  <c r="L35" i="18"/>
  <c r="K35" i="18"/>
  <c r="J35" i="18"/>
  <c r="I35" i="18"/>
  <c r="D34" i="18"/>
  <c r="E34" i="18" s="1"/>
  <c r="C33" i="18"/>
  <c r="N30" i="18"/>
  <c r="N45" i="18" s="1"/>
  <c r="E29" i="18"/>
  <c r="E28" i="18"/>
  <c r="E27" i="18"/>
  <c r="E26" i="18"/>
  <c r="N24" i="18"/>
  <c r="T22" i="18"/>
  <c r="T26" i="18" s="1"/>
  <c r="T31" i="18" s="1"/>
  <c r="S22" i="18"/>
  <c r="S26" i="18" s="1"/>
  <c r="S31" i="18" s="1"/>
  <c r="N20" i="18"/>
  <c r="N19" i="18"/>
  <c r="N18" i="18"/>
  <c r="E18" i="18"/>
  <c r="E34" i="5" s="1"/>
  <c r="N16" i="18"/>
  <c r="N14" i="18"/>
  <c r="N13" i="18"/>
  <c r="T12" i="18"/>
  <c r="T17" i="18" s="1"/>
  <c r="S12" i="18"/>
  <c r="S17" i="18" s="1"/>
  <c r="M12" i="18"/>
  <c r="L12" i="18"/>
  <c r="K12" i="18"/>
  <c r="K29" i="18" s="1"/>
  <c r="K31" i="18" s="1"/>
  <c r="K32" i="18" s="1"/>
  <c r="J12" i="18"/>
  <c r="J15" i="18" s="1"/>
  <c r="I12" i="18"/>
  <c r="I15" i="18" s="1"/>
  <c r="N11" i="18"/>
  <c r="N10" i="18"/>
  <c r="F17" i="2" s="1"/>
  <c r="N9" i="18"/>
  <c r="I8" i="18"/>
  <c r="S7" i="18"/>
  <c r="A1" i="18"/>
  <c r="C65" i="17"/>
  <c r="C64" i="17"/>
  <c r="S34" i="3" s="1"/>
  <c r="C62" i="17"/>
  <c r="C61" i="17"/>
  <c r="T59" i="17"/>
  <c r="S59" i="17"/>
  <c r="M59" i="17"/>
  <c r="L59" i="17"/>
  <c r="K59" i="17"/>
  <c r="J59" i="17"/>
  <c r="I59" i="17"/>
  <c r="T58" i="17"/>
  <c r="S58" i="17"/>
  <c r="N58" i="17"/>
  <c r="T57" i="17"/>
  <c r="S57" i="17"/>
  <c r="M57" i="17"/>
  <c r="L57" i="17"/>
  <c r="K57" i="17"/>
  <c r="J57" i="17"/>
  <c r="I57" i="17"/>
  <c r="T56" i="17"/>
  <c r="S56" i="17"/>
  <c r="N56" i="17"/>
  <c r="N40" i="17" s="1"/>
  <c r="I34" i="3" s="1"/>
  <c r="T55" i="17"/>
  <c r="S55" i="17"/>
  <c r="E51" i="17"/>
  <c r="L34" i="4" s="1"/>
  <c r="Q50" i="17"/>
  <c r="S49" i="17"/>
  <c r="T49" i="17" s="1"/>
  <c r="S48" i="17"/>
  <c r="T48" i="17" s="1"/>
  <c r="E48" i="17"/>
  <c r="J34" i="4" s="1"/>
  <c r="S47" i="17"/>
  <c r="T47" i="17" s="1"/>
  <c r="N47" i="17"/>
  <c r="S46" i="17"/>
  <c r="T46" i="17" s="1"/>
  <c r="M46" i="17"/>
  <c r="L46" i="17"/>
  <c r="K46" i="17"/>
  <c r="J46" i="17"/>
  <c r="I46" i="17"/>
  <c r="S45" i="17"/>
  <c r="T45" i="17" s="1"/>
  <c r="M45" i="17"/>
  <c r="L45" i="17"/>
  <c r="K45" i="17"/>
  <c r="J45" i="17"/>
  <c r="I45" i="17"/>
  <c r="E41" i="17"/>
  <c r="D41" i="17"/>
  <c r="M40" i="17"/>
  <c r="L40" i="17"/>
  <c r="K40" i="17"/>
  <c r="J40" i="17"/>
  <c r="I40" i="17"/>
  <c r="N36" i="17"/>
  <c r="N46" i="17" s="1"/>
  <c r="M35" i="17"/>
  <c r="L35" i="17"/>
  <c r="K35" i="17"/>
  <c r="J35" i="17"/>
  <c r="I35" i="17"/>
  <c r="D34" i="17"/>
  <c r="E34" i="17" s="1"/>
  <c r="C33" i="17"/>
  <c r="N30" i="17"/>
  <c r="N35" i="17" s="1"/>
  <c r="E29" i="17"/>
  <c r="E28" i="17"/>
  <c r="E27" i="17"/>
  <c r="E26" i="17"/>
  <c r="N24" i="17"/>
  <c r="T22" i="17"/>
  <c r="T26" i="17" s="1"/>
  <c r="T31" i="17" s="1"/>
  <c r="S22" i="17"/>
  <c r="S26" i="17" s="1"/>
  <c r="S31" i="17" s="1"/>
  <c r="N20" i="17"/>
  <c r="N19" i="17"/>
  <c r="N18" i="17"/>
  <c r="E18" i="17"/>
  <c r="N16" i="17"/>
  <c r="N14" i="17"/>
  <c r="N13" i="17"/>
  <c r="T12" i="17"/>
  <c r="T17" i="17" s="1"/>
  <c r="S12" i="17"/>
  <c r="S17" i="17" s="1"/>
  <c r="M12" i="17"/>
  <c r="L12" i="17"/>
  <c r="L29" i="17" s="1"/>
  <c r="L31" i="17" s="1"/>
  <c r="L32" i="17" s="1"/>
  <c r="K12" i="17"/>
  <c r="K15" i="17" s="1"/>
  <c r="J12" i="17"/>
  <c r="J29" i="17" s="1"/>
  <c r="J31" i="17" s="1"/>
  <c r="J32" i="17" s="1"/>
  <c r="I12" i="17"/>
  <c r="N11" i="17"/>
  <c r="N10" i="17"/>
  <c r="C36" i="17" s="1"/>
  <c r="N9" i="17"/>
  <c r="C34" i="17" s="1"/>
  <c r="I8" i="17"/>
  <c r="S7" i="17"/>
  <c r="A1" i="17"/>
  <c r="C65" i="16"/>
  <c r="C64" i="16"/>
  <c r="S28" i="3" s="1"/>
  <c r="C62" i="16"/>
  <c r="C61" i="16"/>
  <c r="R28" i="3" s="1"/>
  <c r="T59" i="16"/>
  <c r="S59" i="16"/>
  <c r="M59" i="16"/>
  <c r="L59" i="16"/>
  <c r="K59" i="16"/>
  <c r="J59" i="16"/>
  <c r="I59" i="16"/>
  <c r="T58" i="16"/>
  <c r="S58" i="16"/>
  <c r="N58" i="16"/>
  <c r="T57" i="16"/>
  <c r="S57" i="16"/>
  <c r="M57" i="16"/>
  <c r="L57" i="16"/>
  <c r="K57" i="16"/>
  <c r="J57" i="16"/>
  <c r="I57" i="16"/>
  <c r="T56" i="16"/>
  <c r="S56" i="16"/>
  <c r="N56" i="16"/>
  <c r="T55" i="16"/>
  <c r="S55" i="16"/>
  <c r="E51" i="16"/>
  <c r="L28" i="4" s="1"/>
  <c r="Q50" i="16"/>
  <c r="S49" i="16"/>
  <c r="T49" i="16" s="1"/>
  <c r="S48" i="16"/>
  <c r="T48" i="16" s="1"/>
  <c r="E48" i="16"/>
  <c r="S47" i="16"/>
  <c r="T47" i="16" s="1"/>
  <c r="N47" i="16"/>
  <c r="S46" i="16"/>
  <c r="T46" i="16" s="1"/>
  <c r="M46" i="16"/>
  <c r="L46" i="16"/>
  <c r="K46" i="16"/>
  <c r="J46" i="16"/>
  <c r="I46" i="16"/>
  <c r="S45" i="16"/>
  <c r="T45" i="16" s="1"/>
  <c r="M45" i="16"/>
  <c r="L45" i="16"/>
  <c r="K45" i="16"/>
  <c r="J45" i="16"/>
  <c r="I45" i="16"/>
  <c r="E41" i="16"/>
  <c r="Z27" i="5" s="1"/>
  <c r="D41" i="16"/>
  <c r="Y27" i="5" s="1"/>
  <c r="M40" i="16"/>
  <c r="L40" i="16"/>
  <c r="K40" i="16"/>
  <c r="J40" i="16"/>
  <c r="I40" i="16"/>
  <c r="N36" i="16"/>
  <c r="N46" i="16" s="1"/>
  <c r="M35" i="16"/>
  <c r="L35" i="16"/>
  <c r="K35" i="16"/>
  <c r="J35" i="16"/>
  <c r="I35" i="16"/>
  <c r="D34" i="16"/>
  <c r="E34" i="16" s="1"/>
  <c r="C33" i="16"/>
  <c r="N30" i="16"/>
  <c r="N45" i="16" s="1"/>
  <c r="E29" i="16"/>
  <c r="E28" i="16"/>
  <c r="E27" i="16"/>
  <c r="E26" i="16"/>
  <c r="N24" i="16"/>
  <c r="T22" i="16"/>
  <c r="T26" i="16" s="1"/>
  <c r="T31" i="16" s="1"/>
  <c r="S22" i="16"/>
  <c r="S26" i="16" s="1"/>
  <c r="S31" i="16" s="1"/>
  <c r="N20" i="16"/>
  <c r="N19" i="16"/>
  <c r="N18" i="16"/>
  <c r="E18" i="16"/>
  <c r="E27" i="5" s="1"/>
  <c r="N16" i="16"/>
  <c r="N14" i="16"/>
  <c r="N13" i="16"/>
  <c r="T12" i="16"/>
  <c r="T17" i="16" s="1"/>
  <c r="S12" i="16"/>
  <c r="S17" i="16" s="1"/>
  <c r="M12" i="16"/>
  <c r="M29" i="16" s="1"/>
  <c r="M31" i="16" s="1"/>
  <c r="M32" i="16" s="1"/>
  <c r="L12" i="16"/>
  <c r="L29" i="16" s="1"/>
  <c r="L31" i="16" s="1"/>
  <c r="L32" i="16" s="1"/>
  <c r="K12" i="16"/>
  <c r="K15" i="16" s="1"/>
  <c r="J12" i="16"/>
  <c r="J29" i="16" s="1"/>
  <c r="J31" i="16" s="1"/>
  <c r="J32" i="16" s="1"/>
  <c r="I12" i="16"/>
  <c r="I15" i="16" s="1"/>
  <c r="I34" i="16" s="1"/>
  <c r="N11" i="16"/>
  <c r="N10" i="16"/>
  <c r="G28" i="3" s="1"/>
  <c r="N9" i="16"/>
  <c r="T7" i="16" s="1"/>
  <c r="I8" i="16"/>
  <c r="S7" i="16"/>
  <c r="A1" i="16"/>
  <c r="C65" i="15"/>
  <c r="C64" i="15"/>
  <c r="S27" i="3" s="1"/>
  <c r="C62" i="15"/>
  <c r="C61" i="15"/>
  <c r="T59" i="15"/>
  <c r="S59" i="15"/>
  <c r="M59" i="15"/>
  <c r="L59" i="15"/>
  <c r="K59" i="15"/>
  <c r="J59" i="15"/>
  <c r="I59" i="15"/>
  <c r="T58" i="15"/>
  <c r="S58" i="15"/>
  <c r="N58" i="15"/>
  <c r="T57" i="15"/>
  <c r="S57" i="15"/>
  <c r="M57" i="15"/>
  <c r="L57" i="15"/>
  <c r="K57" i="15"/>
  <c r="J57" i="15"/>
  <c r="I57" i="15"/>
  <c r="T56" i="15"/>
  <c r="S56" i="15"/>
  <c r="N56" i="15"/>
  <c r="T55" i="15"/>
  <c r="S55" i="15"/>
  <c r="E51" i="15"/>
  <c r="L27" i="4" s="1"/>
  <c r="Q50" i="15"/>
  <c r="S49" i="15"/>
  <c r="T49" i="15" s="1"/>
  <c r="S48" i="15"/>
  <c r="T48" i="15" s="1"/>
  <c r="E48" i="15"/>
  <c r="J27" i="4" s="1"/>
  <c r="S47" i="15"/>
  <c r="T47" i="15" s="1"/>
  <c r="N47" i="15"/>
  <c r="S46" i="15"/>
  <c r="M46" i="15"/>
  <c r="L46" i="15"/>
  <c r="K46" i="15"/>
  <c r="J46" i="15"/>
  <c r="I46" i="15"/>
  <c r="S45" i="15"/>
  <c r="T45" i="15" s="1"/>
  <c r="M45" i="15"/>
  <c r="L45" i="15"/>
  <c r="K45" i="15"/>
  <c r="J45" i="15"/>
  <c r="I45" i="15"/>
  <c r="E41" i="15"/>
  <c r="Z26" i="5" s="1"/>
  <c r="D41" i="15"/>
  <c r="Y26" i="5" s="1"/>
  <c r="M40" i="15"/>
  <c r="L40" i="15"/>
  <c r="K40" i="15"/>
  <c r="J40" i="15"/>
  <c r="I40" i="15"/>
  <c r="N36" i="15"/>
  <c r="N46" i="15" s="1"/>
  <c r="M35" i="15"/>
  <c r="L35" i="15"/>
  <c r="K35" i="15"/>
  <c r="J35" i="15"/>
  <c r="I35" i="15"/>
  <c r="D34" i="15"/>
  <c r="E34" i="15" s="1"/>
  <c r="C33" i="15"/>
  <c r="N30" i="15"/>
  <c r="N35" i="15" s="1"/>
  <c r="E29" i="15"/>
  <c r="E28" i="15"/>
  <c r="E27" i="15"/>
  <c r="E26" i="15"/>
  <c r="N24" i="15"/>
  <c r="T22" i="15"/>
  <c r="T26" i="15" s="1"/>
  <c r="T31" i="15" s="1"/>
  <c r="S22" i="15"/>
  <c r="S26" i="15" s="1"/>
  <c r="S31" i="15" s="1"/>
  <c r="N20" i="15"/>
  <c r="N19" i="15"/>
  <c r="N18" i="15"/>
  <c r="E18" i="15"/>
  <c r="E26" i="5" s="1"/>
  <c r="N16" i="15"/>
  <c r="N14" i="15"/>
  <c r="N13" i="15"/>
  <c r="T12" i="15"/>
  <c r="T17" i="15" s="1"/>
  <c r="S12" i="15"/>
  <c r="S17" i="15" s="1"/>
  <c r="M12" i="15"/>
  <c r="M15" i="15" s="1"/>
  <c r="L12" i="15"/>
  <c r="L15" i="15" s="1"/>
  <c r="L34" i="15" s="1"/>
  <c r="K12" i="15"/>
  <c r="J12" i="15"/>
  <c r="I12" i="15"/>
  <c r="I29" i="15" s="1"/>
  <c r="I31" i="15" s="1"/>
  <c r="I32" i="15" s="1"/>
  <c r="N11" i="15"/>
  <c r="N10" i="15"/>
  <c r="F14" i="2" s="1"/>
  <c r="N9" i="15"/>
  <c r="I8" i="15"/>
  <c r="S7" i="15"/>
  <c r="A1" i="15"/>
  <c r="C65" i="14"/>
  <c r="C64" i="14"/>
  <c r="C62" i="14"/>
  <c r="C61" i="14"/>
  <c r="R26" i="3" s="1"/>
  <c r="T59" i="14"/>
  <c r="S59" i="14"/>
  <c r="M59" i="14"/>
  <c r="L59" i="14"/>
  <c r="K59" i="14"/>
  <c r="J59" i="14"/>
  <c r="I59" i="14"/>
  <c r="T58" i="14"/>
  <c r="S58" i="14"/>
  <c r="N58" i="14"/>
  <c r="T57" i="14"/>
  <c r="S57" i="14"/>
  <c r="M57" i="14"/>
  <c r="L57" i="14"/>
  <c r="K57" i="14"/>
  <c r="J57" i="14"/>
  <c r="I57" i="14"/>
  <c r="T56" i="14"/>
  <c r="S56" i="14"/>
  <c r="N56" i="14"/>
  <c r="N40" i="14" s="1"/>
  <c r="I26" i="3" s="1"/>
  <c r="T55" i="14"/>
  <c r="S55" i="14"/>
  <c r="E51" i="14"/>
  <c r="L26" i="4" s="1"/>
  <c r="Q50" i="14"/>
  <c r="S49" i="14"/>
  <c r="T49" i="14" s="1"/>
  <c r="S48" i="14"/>
  <c r="T48" i="14" s="1"/>
  <c r="E48" i="14"/>
  <c r="J26" i="4" s="1"/>
  <c r="S47" i="14"/>
  <c r="T47" i="14" s="1"/>
  <c r="N47" i="14"/>
  <c r="S46" i="14"/>
  <c r="M46" i="14"/>
  <c r="L46" i="14"/>
  <c r="K46" i="14"/>
  <c r="J46" i="14"/>
  <c r="I46" i="14"/>
  <c r="S45" i="14"/>
  <c r="T45" i="14" s="1"/>
  <c r="M45" i="14"/>
  <c r="L45" i="14"/>
  <c r="K45" i="14"/>
  <c r="J45" i="14"/>
  <c r="I45" i="14"/>
  <c r="E41" i="14"/>
  <c r="D41" i="14"/>
  <c r="M40" i="14"/>
  <c r="L40" i="14"/>
  <c r="K40" i="14"/>
  <c r="J40" i="14"/>
  <c r="I40" i="14"/>
  <c r="N36" i="14"/>
  <c r="N46" i="14" s="1"/>
  <c r="M35" i="14"/>
  <c r="L35" i="14"/>
  <c r="K35" i="14"/>
  <c r="J35" i="14"/>
  <c r="I35" i="14"/>
  <c r="D34" i="14"/>
  <c r="E34" i="14" s="1"/>
  <c r="C33" i="14"/>
  <c r="N30" i="14"/>
  <c r="N35" i="14" s="1"/>
  <c r="E29" i="14"/>
  <c r="E28" i="14"/>
  <c r="E27" i="14"/>
  <c r="E26" i="14"/>
  <c r="N24" i="14"/>
  <c r="T22" i="14"/>
  <c r="T26" i="14" s="1"/>
  <c r="T31" i="14" s="1"/>
  <c r="S22" i="14"/>
  <c r="S26" i="14" s="1"/>
  <c r="S31" i="14" s="1"/>
  <c r="N20" i="14"/>
  <c r="N19" i="14"/>
  <c r="N18" i="14"/>
  <c r="E18" i="14"/>
  <c r="E25" i="5" s="1"/>
  <c r="N16" i="14"/>
  <c r="N14" i="14"/>
  <c r="N13" i="14"/>
  <c r="T12" i="14"/>
  <c r="T17" i="14" s="1"/>
  <c r="S12" i="14"/>
  <c r="S17" i="14" s="1"/>
  <c r="M12" i="14"/>
  <c r="L12" i="14"/>
  <c r="K12" i="14"/>
  <c r="K15" i="14" s="1"/>
  <c r="J12" i="14"/>
  <c r="J15" i="14" s="1"/>
  <c r="I12" i="14"/>
  <c r="I29" i="14" s="1"/>
  <c r="I31" i="14" s="1"/>
  <c r="I32" i="14" s="1"/>
  <c r="N11" i="14"/>
  <c r="N10" i="14"/>
  <c r="F13" i="2" s="1"/>
  <c r="N9" i="14"/>
  <c r="T7" i="14" s="1"/>
  <c r="I8" i="14"/>
  <c r="S7" i="14"/>
  <c r="A1" i="14"/>
  <c r="C65" i="13"/>
  <c r="C64" i="13"/>
  <c r="S25" i="3" s="1"/>
  <c r="C62" i="13"/>
  <c r="C61" i="13"/>
  <c r="R25" i="3" s="1"/>
  <c r="T59" i="13"/>
  <c r="S59" i="13"/>
  <c r="M59" i="13"/>
  <c r="L59" i="13"/>
  <c r="K59" i="13"/>
  <c r="J59" i="13"/>
  <c r="I59" i="13"/>
  <c r="T58" i="13"/>
  <c r="S58" i="13"/>
  <c r="N58" i="13"/>
  <c r="T57" i="13"/>
  <c r="S57" i="13"/>
  <c r="M57" i="13"/>
  <c r="L57" i="13"/>
  <c r="K57" i="13"/>
  <c r="J57" i="13"/>
  <c r="I57" i="13"/>
  <c r="T56" i="13"/>
  <c r="S56" i="13"/>
  <c r="N56" i="13"/>
  <c r="T55" i="13"/>
  <c r="S55" i="13"/>
  <c r="E51" i="13"/>
  <c r="L25" i="4" s="1"/>
  <c r="Q50" i="13"/>
  <c r="S49" i="13"/>
  <c r="T49" i="13" s="1"/>
  <c r="S48" i="13"/>
  <c r="T48" i="13" s="1"/>
  <c r="E48" i="13"/>
  <c r="S47" i="13"/>
  <c r="T47" i="13" s="1"/>
  <c r="N47" i="13"/>
  <c r="S46" i="13"/>
  <c r="T46" i="13" s="1"/>
  <c r="M46" i="13"/>
  <c r="L46" i="13"/>
  <c r="K46" i="13"/>
  <c r="J46" i="13"/>
  <c r="I46" i="13"/>
  <c r="S45" i="13"/>
  <c r="T45" i="13" s="1"/>
  <c r="M45" i="13"/>
  <c r="L45" i="13"/>
  <c r="K45" i="13"/>
  <c r="J45" i="13"/>
  <c r="I45" i="13"/>
  <c r="E41" i="13"/>
  <c r="Z24" i="5" s="1"/>
  <c r="D41" i="13"/>
  <c r="Y24" i="5" s="1"/>
  <c r="M40" i="13"/>
  <c r="L40" i="13"/>
  <c r="K40" i="13"/>
  <c r="J40" i="13"/>
  <c r="I40" i="13"/>
  <c r="N36" i="13"/>
  <c r="N46" i="13" s="1"/>
  <c r="M35" i="13"/>
  <c r="L35" i="13"/>
  <c r="K35" i="13"/>
  <c r="J35" i="13"/>
  <c r="I35" i="13"/>
  <c r="D34" i="13"/>
  <c r="E34" i="13" s="1"/>
  <c r="C33" i="13"/>
  <c r="N30" i="13"/>
  <c r="N45" i="13" s="1"/>
  <c r="E29" i="13"/>
  <c r="E28" i="13"/>
  <c r="E27" i="13"/>
  <c r="E26" i="13"/>
  <c r="N24" i="13"/>
  <c r="T22" i="13"/>
  <c r="T26" i="13" s="1"/>
  <c r="T31" i="13" s="1"/>
  <c r="S22" i="13"/>
  <c r="S26" i="13" s="1"/>
  <c r="S31" i="13" s="1"/>
  <c r="N20" i="13"/>
  <c r="N19" i="13"/>
  <c r="N18" i="13"/>
  <c r="E18" i="13"/>
  <c r="E24" i="5" s="1"/>
  <c r="N16" i="13"/>
  <c r="N14" i="13"/>
  <c r="N13" i="13"/>
  <c r="T12" i="13"/>
  <c r="T17" i="13" s="1"/>
  <c r="S12" i="13"/>
  <c r="S17" i="13" s="1"/>
  <c r="M12" i="13"/>
  <c r="M29" i="13" s="1"/>
  <c r="M31" i="13" s="1"/>
  <c r="M32" i="13" s="1"/>
  <c r="L12" i="13"/>
  <c r="L15" i="13" s="1"/>
  <c r="K12" i="13"/>
  <c r="K15" i="13" s="1"/>
  <c r="J12" i="13"/>
  <c r="I12" i="13"/>
  <c r="N11" i="13"/>
  <c r="N10" i="13"/>
  <c r="C36" i="13" s="1"/>
  <c r="N9" i="13"/>
  <c r="C34" i="13" s="1"/>
  <c r="I8" i="13"/>
  <c r="S7" i="13"/>
  <c r="A1" i="13"/>
  <c r="C65" i="12"/>
  <c r="C64" i="12"/>
  <c r="S24" i="3" s="1"/>
  <c r="C62" i="12"/>
  <c r="C61" i="12"/>
  <c r="R24" i="3" s="1"/>
  <c r="T59" i="12"/>
  <c r="S59" i="12"/>
  <c r="M59" i="12"/>
  <c r="L59" i="12"/>
  <c r="K59" i="12"/>
  <c r="J59" i="12"/>
  <c r="I59" i="12"/>
  <c r="T58" i="12"/>
  <c r="S58" i="12"/>
  <c r="N58" i="12"/>
  <c r="T57" i="12"/>
  <c r="S57" i="12"/>
  <c r="M57" i="12"/>
  <c r="L57" i="12"/>
  <c r="K57" i="12"/>
  <c r="J57" i="12"/>
  <c r="I57" i="12"/>
  <c r="T56" i="12"/>
  <c r="S56" i="12"/>
  <c r="N56" i="12"/>
  <c r="N40" i="12" s="1"/>
  <c r="I24" i="3" s="1"/>
  <c r="T55" i="12"/>
  <c r="S55" i="12"/>
  <c r="E51" i="12"/>
  <c r="L24" i="4" s="1"/>
  <c r="Q50" i="12"/>
  <c r="S49" i="12"/>
  <c r="T49" i="12" s="1"/>
  <c r="S48" i="12"/>
  <c r="T48" i="12" s="1"/>
  <c r="E48" i="12"/>
  <c r="J24" i="4" s="1"/>
  <c r="S47" i="12"/>
  <c r="T47" i="12" s="1"/>
  <c r="N47" i="12"/>
  <c r="S46" i="12"/>
  <c r="T46" i="12" s="1"/>
  <c r="M46" i="12"/>
  <c r="L46" i="12"/>
  <c r="K46" i="12"/>
  <c r="J46" i="12"/>
  <c r="I46" i="12"/>
  <c r="S45" i="12"/>
  <c r="M45" i="12"/>
  <c r="L45" i="12"/>
  <c r="K45" i="12"/>
  <c r="J45" i="12"/>
  <c r="I45" i="12"/>
  <c r="E41" i="12"/>
  <c r="Z23" i="5" s="1"/>
  <c r="D41" i="12"/>
  <c r="Y23" i="5" s="1"/>
  <c r="M40" i="12"/>
  <c r="L40" i="12"/>
  <c r="K40" i="12"/>
  <c r="J40" i="12"/>
  <c r="I40" i="12"/>
  <c r="N36" i="12"/>
  <c r="N46" i="12" s="1"/>
  <c r="M35" i="12"/>
  <c r="L35" i="12"/>
  <c r="K35" i="12"/>
  <c r="J35" i="12"/>
  <c r="I35" i="12"/>
  <c r="D34" i="12"/>
  <c r="E34" i="12" s="1"/>
  <c r="C33" i="12"/>
  <c r="N30" i="12"/>
  <c r="N45" i="12" s="1"/>
  <c r="E29" i="12"/>
  <c r="E28" i="12"/>
  <c r="E27" i="12"/>
  <c r="E26" i="12"/>
  <c r="N24" i="12"/>
  <c r="T22" i="12"/>
  <c r="T26" i="12" s="1"/>
  <c r="T31" i="12" s="1"/>
  <c r="S22" i="12"/>
  <c r="S26" i="12" s="1"/>
  <c r="S31" i="12" s="1"/>
  <c r="N20" i="12"/>
  <c r="N19" i="12"/>
  <c r="N18" i="12"/>
  <c r="E18" i="12"/>
  <c r="N16" i="12"/>
  <c r="N14" i="12"/>
  <c r="N13" i="12"/>
  <c r="T12" i="12"/>
  <c r="T17" i="12" s="1"/>
  <c r="S12" i="12"/>
  <c r="S17" i="12" s="1"/>
  <c r="M12" i="12"/>
  <c r="L12" i="12"/>
  <c r="L29" i="12" s="1"/>
  <c r="L31" i="12" s="1"/>
  <c r="L32" i="12" s="1"/>
  <c r="K12" i="12"/>
  <c r="K29" i="12" s="1"/>
  <c r="K31" i="12" s="1"/>
  <c r="K32" i="12" s="1"/>
  <c r="J12" i="12"/>
  <c r="J29" i="12" s="1"/>
  <c r="J31" i="12" s="1"/>
  <c r="J32" i="12" s="1"/>
  <c r="I12" i="12"/>
  <c r="I29" i="12" s="1"/>
  <c r="I31" i="12" s="1"/>
  <c r="I32" i="12" s="1"/>
  <c r="N11" i="12"/>
  <c r="N10" i="12"/>
  <c r="C36" i="12" s="1"/>
  <c r="N9" i="12"/>
  <c r="C34" i="12" s="1"/>
  <c r="I8" i="12"/>
  <c r="S7" i="12"/>
  <c r="A1" i="12"/>
  <c r="C65" i="11"/>
  <c r="C64" i="11"/>
  <c r="S18" i="3" s="1"/>
  <c r="C62" i="11"/>
  <c r="C61" i="11"/>
  <c r="R18" i="3" s="1"/>
  <c r="T59" i="11"/>
  <c r="S59" i="11"/>
  <c r="M59" i="11"/>
  <c r="L59" i="11"/>
  <c r="K59" i="11"/>
  <c r="J59" i="11"/>
  <c r="I59" i="11"/>
  <c r="T58" i="11"/>
  <c r="S58" i="11"/>
  <c r="N58" i="11"/>
  <c r="T57" i="11"/>
  <c r="S57" i="11"/>
  <c r="M57" i="11"/>
  <c r="L57" i="11"/>
  <c r="K57" i="11"/>
  <c r="J57" i="11"/>
  <c r="I57" i="11"/>
  <c r="T56" i="11"/>
  <c r="S56" i="11"/>
  <c r="N56" i="11"/>
  <c r="N40" i="11" s="1"/>
  <c r="I18" i="3" s="1"/>
  <c r="T55" i="11"/>
  <c r="S55" i="11"/>
  <c r="E51" i="11"/>
  <c r="L18" i="4" s="1"/>
  <c r="Q50" i="11"/>
  <c r="S49" i="11"/>
  <c r="T49" i="11" s="1"/>
  <c r="S48" i="11"/>
  <c r="T48" i="11" s="1"/>
  <c r="E48" i="11"/>
  <c r="J18" i="4" s="1"/>
  <c r="S47" i="11"/>
  <c r="T47" i="11" s="1"/>
  <c r="N47" i="11"/>
  <c r="S46" i="11"/>
  <c r="T46" i="11" s="1"/>
  <c r="M46" i="11"/>
  <c r="L46" i="11"/>
  <c r="K46" i="11"/>
  <c r="J46" i="11"/>
  <c r="I46" i="11"/>
  <c r="S45" i="11"/>
  <c r="M45" i="11"/>
  <c r="L45" i="11"/>
  <c r="K45" i="11"/>
  <c r="J45" i="11"/>
  <c r="I45" i="11"/>
  <c r="E41" i="11"/>
  <c r="Z17" i="5" s="1"/>
  <c r="D41" i="11"/>
  <c r="Y17" i="5" s="1"/>
  <c r="M40" i="11"/>
  <c r="L40" i="11"/>
  <c r="K40" i="11"/>
  <c r="J40" i="11"/>
  <c r="I40" i="11"/>
  <c r="N36" i="11"/>
  <c r="N46" i="11" s="1"/>
  <c r="M35" i="11"/>
  <c r="L35" i="11"/>
  <c r="K35" i="11"/>
  <c r="J35" i="11"/>
  <c r="I35" i="11"/>
  <c r="D34" i="11"/>
  <c r="E34" i="11" s="1"/>
  <c r="C33" i="11"/>
  <c r="N30" i="11"/>
  <c r="N45" i="11" s="1"/>
  <c r="E29" i="11"/>
  <c r="E28" i="11"/>
  <c r="E27" i="11"/>
  <c r="E26" i="11"/>
  <c r="N24" i="11"/>
  <c r="T22" i="11"/>
  <c r="T26" i="11" s="1"/>
  <c r="T31" i="11" s="1"/>
  <c r="S22" i="11"/>
  <c r="S26" i="11" s="1"/>
  <c r="S31" i="11" s="1"/>
  <c r="N20" i="11"/>
  <c r="N19" i="11"/>
  <c r="N18" i="11"/>
  <c r="E18" i="11"/>
  <c r="E17" i="5" s="1"/>
  <c r="N16" i="11"/>
  <c r="N14" i="11"/>
  <c r="N13" i="11"/>
  <c r="T12" i="11"/>
  <c r="T17" i="11" s="1"/>
  <c r="S12" i="11"/>
  <c r="S17" i="11" s="1"/>
  <c r="M12" i="11"/>
  <c r="L12" i="11"/>
  <c r="K12" i="11"/>
  <c r="K15" i="11" s="1"/>
  <c r="J12" i="11"/>
  <c r="J15" i="11" s="1"/>
  <c r="I12" i="11"/>
  <c r="N11" i="11"/>
  <c r="N10" i="11"/>
  <c r="G18" i="3" s="1"/>
  <c r="N9" i="11"/>
  <c r="C34" i="11" s="1"/>
  <c r="I8" i="11"/>
  <c r="S7" i="11"/>
  <c r="A1" i="11"/>
  <c r="C65" i="10"/>
  <c r="C64" i="10"/>
  <c r="S17" i="3" s="1"/>
  <c r="C62" i="10"/>
  <c r="C61" i="10"/>
  <c r="R17" i="3" s="1"/>
  <c r="T59" i="10"/>
  <c r="S59" i="10"/>
  <c r="M59" i="10"/>
  <c r="L59" i="10"/>
  <c r="K59" i="10"/>
  <c r="J59" i="10"/>
  <c r="I59" i="10"/>
  <c r="T58" i="10"/>
  <c r="S58" i="10"/>
  <c r="N58" i="10"/>
  <c r="T57" i="10"/>
  <c r="S57" i="10"/>
  <c r="M57" i="10"/>
  <c r="L57" i="10"/>
  <c r="K57" i="10"/>
  <c r="J57" i="10"/>
  <c r="I57" i="10"/>
  <c r="T56" i="10"/>
  <c r="S56" i="10"/>
  <c r="N56" i="10"/>
  <c r="N40" i="10" s="1"/>
  <c r="I17" i="3" s="1"/>
  <c r="T55" i="10"/>
  <c r="S55" i="10"/>
  <c r="E51" i="10"/>
  <c r="L17" i="4" s="1"/>
  <c r="Q50" i="10"/>
  <c r="S49" i="10"/>
  <c r="T49" i="10" s="1"/>
  <c r="S48" i="10"/>
  <c r="T48" i="10" s="1"/>
  <c r="E48" i="10"/>
  <c r="J17" i="4" s="1"/>
  <c r="S47" i="10"/>
  <c r="T47" i="10" s="1"/>
  <c r="N47" i="10"/>
  <c r="S46" i="10"/>
  <c r="T46" i="10" s="1"/>
  <c r="M46" i="10"/>
  <c r="L46" i="10"/>
  <c r="K46" i="10"/>
  <c r="J46" i="10"/>
  <c r="I46" i="10"/>
  <c r="S45" i="10"/>
  <c r="M45" i="10"/>
  <c r="L45" i="10"/>
  <c r="K45" i="10"/>
  <c r="J45" i="10"/>
  <c r="I45" i="10"/>
  <c r="E41" i="10"/>
  <c r="Z16" i="5" s="1"/>
  <c r="D41" i="10"/>
  <c r="Y16" i="5" s="1"/>
  <c r="M40" i="10"/>
  <c r="L40" i="10"/>
  <c r="K40" i="10"/>
  <c r="J40" i="10"/>
  <c r="I40" i="10"/>
  <c r="N36" i="10"/>
  <c r="N46" i="10" s="1"/>
  <c r="M35" i="10"/>
  <c r="L35" i="10"/>
  <c r="K35" i="10"/>
  <c r="J35" i="10"/>
  <c r="I35" i="10"/>
  <c r="D34" i="10"/>
  <c r="E34" i="10" s="1"/>
  <c r="C33" i="10"/>
  <c r="N30" i="10"/>
  <c r="N45" i="10" s="1"/>
  <c r="E29" i="10"/>
  <c r="E28" i="10"/>
  <c r="E27" i="10"/>
  <c r="E26" i="10"/>
  <c r="N24" i="10"/>
  <c r="T22" i="10"/>
  <c r="T26" i="10" s="1"/>
  <c r="T31" i="10" s="1"/>
  <c r="S22" i="10"/>
  <c r="S26" i="10" s="1"/>
  <c r="S31" i="10" s="1"/>
  <c r="N20" i="10"/>
  <c r="N19" i="10"/>
  <c r="N18" i="10"/>
  <c r="E18" i="10"/>
  <c r="E16" i="5" s="1"/>
  <c r="N16" i="10"/>
  <c r="N14" i="10"/>
  <c r="N13" i="10"/>
  <c r="T12" i="10"/>
  <c r="T17" i="10" s="1"/>
  <c r="S12" i="10"/>
  <c r="S17" i="10" s="1"/>
  <c r="M12" i="10"/>
  <c r="L12" i="10"/>
  <c r="L29" i="10" s="1"/>
  <c r="L31" i="10" s="1"/>
  <c r="L32" i="10" s="1"/>
  <c r="K12" i="10"/>
  <c r="K29" i="10" s="1"/>
  <c r="K31" i="10" s="1"/>
  <c r="K32" i="10" s="1"/>
  <c r="J12" i="10"/>
  <c r="J29" i="10" s="1"/>
  <c r="J31" i="10" s="1"/>
  <c r="J32" i="10" s="1"/>
  <c r="I12" i="10"/>
  <c r="N11" i="10"/>
  <c r="N10" i="10"/>
  <c r="C36" i="10" s="1"/>
  <c r="N9" i="10"/>
  <c r="C34" i="10" s="1"/>
  <c r="I8" i="10"/>
  <c r="S7" i="10"/>
  <c r="A1" i="10"/>
  <c r="C65" i="9"/>
  <c r="C64" i="9"/>
  <c r="S16" i="3" s="1"/>
  <c r="C62" i="9"/>
  <c r="C61" i="9"/>
  <c r="R16" i="3" s="1"/>
  <c r="T59" i="9"/>
  <c r="S59" i="9"/>
  <c r="M59" i="9"/>
  <c r="L59" i="9"/>
  <c r="K59" i="9"/>
  <c r="J59" i="9"/>
  <c r="I59" i="9"/>
  <c r="T58" i="9"/>
  <c r="S58" i="9"/>
  <c r="N58" i="9"/>
  <c r="T57" i="9"/>
  <c r="S57" i="9"/>
  <c r="M57" i="9"/>
  <c r="L57" i="9"/>
  <c r="K57" i="9"/>
  <c r="J57" i="9"/>
  <c r="I57" i="9"/>
  <c r="T56" i="9"/>
  <c r="S56" i="9"/>
  <c r="N56" i="9"/>
  <c r="N40" i="9" s="1"/>
  <c r="I16" i="3" s="1"/>
  <c r="T55" i="9"/>
  <c r="S55" i="9"/>
  <c r="E51" i="9"/>
  <c r="L16" i="4" s="1"/>
  <c r="Q50" i="9"/>
  <c r="S49" i="9"/>
  <c r="T49" i="9" s="1"/>
  <c r="S48" i="9"/>
  <c r="T48" i="9" s="1"/>
  <c r="E48" i="9"/>
  <c r="J16" i="4" s="1"/>
  <c r="S47" i="9"/>
  <c r="T47" i="9" s="1"/>
  <c r="N47" i="9"/>
  <c r="S46" i="9"/>
  <c r="T46" i="9" s="1"/>
  <c r="M46" i="9"/>
  <c r="L46" i="9"/>
  <c r="K46" i="9"/>
  <c r="J46" i="9"/>
  <c r="I46" i="9"/>
  <c r="S45" i="9"/>
  <c r="T45" i="9" s="1"/>
  <c r="M45" i="9"/>
  <c r="L45" i="9"/>
  <c r="K45" i="9"/>
  <c r="J45" i="9"/>
  <c r="I45" i="9"/>
  <c r="E41" i="9"/>
  <c r="Z15" i="5" s="1"/>
  <c r="D41" i="9"/>
  <c r="Y15" i="5" s="1"/>
  <c r="M40" i="9"/>
  <c r="L40" i="9"/>
  <c r="K40" i="9"/>
  <c r="J40" i="9"/>
  <c r="I40" i="9"/>
  <c r="N36" i="9"/>
  <c r="N46" i="9" s="1"/>
  <c r="M35" i="9"/>
  <c r="L35" i="9"/>
  <c r="K35" i="9"/>
  <c r="J35" i="9"/>
  <c r="I35" i="9"/>
  <c r="D34" i="9"/>
  <c r="E34" i="9" s="1"/>
  <c r="C33" i="9"/>
  <c r="N30" i="9"/>
  <c r="N45" i="9" s="1"/>
  <c r="E29" i="9"/>
  <c r="E28" i="9"/>
  <c r="E27" i="9"/>
  <c r="E26" i="9"/>
  <c r="N24" i="9"/>
  <c r="T22" i="9"/>
  <c r="T26" i="9" s="1"/>
  <c r="T31" i="9" s="1"/>
  <c r="S22" i="9"/>
  <c r="S26" i="9" s="1"/>
  <c r="S31" i="9" s="1"/>
  <c r="N20" i="9"/>
  <c r="N19" i="9"/>
  <c r="N18" i="9"/>
  <c r="E18" i="9"/>
  <c r="E15" i="5" s="1"/>
  <c r="N16" i="9"/>
  <c r="N14" i="9"/>
  <c r="N13" i="9"/>
  <c r="T12" i="9"/>
  <c r="T17" i="9" s="1"/>
  <c r="S12" i="9"/>
  <c r="S17" i="9" s="1"/>
  <c r="M12" i="9"/>
  <c r="M29" i="9" s="1"/>
  <c r="M31" i="9" s="1"/>
  <c r="M32" i="9" s="1"/>
  <c r="L12" i="9"/>
  <c r="L29" i="9" s="1"/>
  <c r="L31" i="9" s="1"/>
  <c r="L32" i="9" s="1"/>
  <c r="K12" i="9"/>
  <c r="K15" i="9" s="1"/>
  <c r="J12" i="9"/>
  <c r="J15" i="9" s="1"/>
  <c r="I12" i="9"/>
  <c r="I15" i="9" s="1"/>
  <c r="N11" i="9"/>
  <c r="N10" i="9"/>
  <c r="F8" i="2" s="1"/>
  <c r="N9" i="9"/>
  <c r="T7" i="9" s="1"/>
  <c r="I8" i="9"/>
  <c r="S7" i="9"/>
  <c r="A1" i="9"/>
  <c r="C65" i="8"/>
  <c r="C64" i="8"/>
  <c r="S15" i="3" s="1"/>
  <c r="C62" i="8"/>
  <c r="C61" i="8"/>
  <c r="R15" i="3" s="1"/>
  <c r="T59" i="8"/>
  <c r="S59" i="8"/>
  <c r="M59" i="8"/>
  <c r="L59" i="8"/>
  <c r="K59" i="8"/>
  <c r="J59" i="8"/>
  <c r="I59" i="8"/>
  <c r="T58" i="8"/>
  <c r="S58" i="8"/>
  <c r="N58" i="8"/>
  <c r="T57" i="8"/>
  <c r="S57" i="8"/>
  <c r="M57" i="8"/>
  <c r="L57" i="8"/>
  <c r="K57" i="8"/>
  <c r="J57" i="8"/>
  <c r="I57" i="8"/>
  <c r="T56" i="8"/>
  <c r="S56" i="8"/>
  <c r="N56" i="8"/>
  <c r="N40" i="8" s="1"/>
  <c r="I15" i="3" s="1"/>
  <c r="T55" i="8"/>
  <c r="S55" i="8"/>
  <c r="E51" i="8"/>
  <c r="L15" i="4" s="1"/>
  <c r="Q50" i="8"/>
  <c r="S49" i="8"/>
  <c r="T49" i="8" s="1"/>
  <c r="S48" i="8"/>
  <c r="T48" i="8" s="1"/>
  <c r="E48" i="8"/>
  <c r="J15" i="4" s="1"/>
  <c r="S47" i="8"/>
  <c r="T47" i="8" s="1"/>
  <c r="N47" i="8"/>
  <c r="S46" i="8"/>
  <c r="T46" i="8" s="1"/>
  <c r="M46" i="8"/>
  <c r="L46" i="8"/>
  <c r="K46" i="8"/>
  <c r="J46" i="8"/>
  <c r="I46" i="8"/>
  <c r="S45" i="8"/>
  <c r="T45" i="8" s="1"/>
  <c r="M45" i="8"/>
  <c r="L45" i="8"/>
  <c r="K45" i="8"/>
  <c r="J45" i="8"/>
  <c r="I45" i="8"/>
  <c r="E41" i="8"/>
  <c r="Z14" i="5" s="1"/>
  <c r="D41" i="8"/>
  <c r="Y14" i="5" s="1"/>
  <c r="M40" i="8"/>
  <c r="L40" i="8"/>
  <c r="K40" i="8"/>
  <c r="J40" i="8"/>
  <c r="I40" i="8"/>
  <c r="N36" i="8"/>
  <c r="N46" i="8" s="1"/>
  <c r="M35" i="8"/>
  <c r="L35" i="8"/>
  <c r="K35" i="8"/>
  <c r="J35" i="8"/>
  <c r="I35" i="8"/>
  <c r="D34" i="8"/>
  <c r="E34" i="8" s="1"/>
  <c r="C33" i="8"/>
  <c r="N30" i="8"/>
  <c r="N45" i="8" s="1"/>
  <c r="E29" i="8"/>
  <c r="E28" i="8"/>
  <c r="E27" i="8"/>
  <c r="E26" i="8"/>
  <c r="N24" i="8"/>
  <c r="T22" i="8"/>
  <c r="T26" i="8" s="1"/>
  <c r="T31" i="8" s="1"/>
  <c r="S22" i="8"/>
  <c r="S26" i="8" s="1"/>
  <c r="S31" i="8" s="1"/>
  <c r="N20" i="8"/>
  <c r="N19" i="8"/>
  <c r="N18" i="8"/>
  <c r="E18" i="8"/>
  <c r="E14" i="5" s="1"/>
  <c r="N16" i="8"/>
  <c r="N14" i="8"/>
  <c r="N13" i="8"/>
  <c r="T12" i="8"/>
  <c r="T17" i="8" s="1"/>
  <c r="S12" i="8"/>
  <c r="S17" i="8" s="1"/>
  <c r="M12" i="8"/>
  <c r="M29" i="8" s="1"/>
  <c r="M31" i="8" s="1"/>
  <c r="M32" i="8" s="1"/>
  <c r="L12" i="8"/>
  <c r="L29" i="8" s="1"/>
  <c r="L31" i="8" s="1"/>
  <c r="L32" i="8" s="1"/>
  <c r="K12" i="8"/>
  <c r="K15" i="8" s="1"/>
  <c r="K17" i="8" s="1"/>
  <c r="J12" i="8"/>
  <c r="J15" i="8" s="1"/>
  <c r="I12" i="8"/>
  <c r="I15" i="8" s="1"/>
  <c r="I17" i="8" s="1"/>
  <c r="N11" i="8"/>
  <c r="N10" i="8"/>
  <c r="C36" i="8" s="1"/>
  <c r="N9" i="8"/>
  <c r="T7" i="8" s="1"/>
  <c r="I8" i="8"/>
  <c r="S7" i="8"/>
  <c r="A1" i="8"/>
  <c r="C65" i="7"/>
  <c r="C64" i="7"/>
  <c r="S14" i="3" s="1"/>
  <c r="C62" i="7"/>
  <c r="C61" i="7"/>
  <c r="R14" i="3" s="1"/>
  <c r="T59" i="7"/>
  <c r="S59" i="7"/>
  <c r="M59" i="7"/>
  <c r="L59" i="7"/>
  <c r="K59" i="7"/>
  <c r="J59" i="7"/>
  <c r="I59" i="7"/>
  <c r="T58" i="7"/>
  <c r="S58" i="7"/>
  <c r="N58" i="7"/>
  <c r="T57" i="7"/>
  <c r="S57" i="7"/>
  <c r="M57" i="7"/>
  <c r="L57" i="7"/>
  <c r="K57" i="7"/>
  <c r="J57" i="7"/>
  <c r="I57" i="7"/>
  <c r="T56" i="7"/>
  <c r="S56" i="7"/>
  <c r="N56" i="7"/>
  <c r="N40" i="7" s="1"/>
  <c r="I14" i="3" s="1"/>
  <c r="T55" i="7"/>
  <c r="S55" i="7"/>
  <c r="E51" i="7"/>
  <c r="L14" i="4" s="1"/>
  <c r="Q50" i="7"/>
  <c r="S49" i="7"/>
  <c r="T49" i="7" s="1"/>
  <c r="S48" i="7"/>
  <c r="T48" i="7" s="1"/>
  <c r="E48" i="7"/>
  <c r="J14" i="4" s="1"/>
  <c r="S47" i="7"/>
  <c r="N47" i="7"/>
  <c r="S46" i="7"/>
  <c r="T46" i="7" s="1"/>
  <c r="M46" i="7"/>
  <c r="L46" i="7"/>
  <c r="K46" i="7"/>
  <c r="J46" i="7"/>
  <c r="I46" i="7"/>
  <c r="S45" i="7"/>
  <c r="T45" i="7" s="1"/>
  <c r="M45" i="7"/>
  <c r="L45" i="7"/>
  <c r="K45" i="7"/>
  <c r="J45" i="7"/>
  <c r="I45" i="7"/>
  <c r="E41" i="7"/>
  <c r="Z13" i="5" s="1"/>
  <c r="D41" i="7"/>
  <c r="Y13" i="5" s="1"/>
  <c r="M40" i="7"/>
  <c r="L40" i="7"/>
  <c r="K40" i="7"/>
  <c r="J40" i="7"/>
  <c r="I40" i="7"/>
  <c r="N36" i="7"/>
  <c r="N46" i="7" s="1"/>
  <c r="M35" i="7"/>
  <c r="L35" i="7"/>
  <c r="K35" i="7"/>
  <c r="J35" i="7"/>
  <c r="I35" i="7"/>
  <c r="D34" i="7"/>
  <c r="E34" i="7" s="1"/>
  <c r="C33" i="7"/>
  <c r="N30" i="7"/>
  <c r="N45" i="7" s="1"/>
  <c r="E29" i="7"/>
  <c r="E28" i="7"/>
  <c r="E27" i="7"/>
  <c r="E26" i="7"/>
  <c r="N24" i="7"/>
  <c r="T22" i="7"/>
  <c r="T26" i="7" s="1"/>
  <c r="T31" i="7" s="1"/>
  <c r="S22" i="7"/>
  <c r="S26" i="7" s="1"/>
  <c r="S31" i="7" s="1"/>
  <c r="N20" i="7"/>
  <c r="N19" i="7"/>
  <c r="N18" i="7"/>
  <c r="E18" i="7"/>
  <c r="E13" i="5" s="1"/>
  <c r="N16" i="7"/>
  <c r="N14" i="7"/>
  <c r="N13" i="7"/>
  <c r="T12" i="7"/>
  <c r="T17" i="7" s="1"/>
  <c r="S12" i="7"/>
  <c r="S17" i="7" s="1"/>
  <c r="M12" i="7"/>
  <c r="M29" i="7" s="1"/>
  <c r="M31" i="7" s="1"/>
  <c r="M32" i="7" s="1"/>
  <c r="L12" i="7"/>
  <c r="L29" i="7" s="1"/>
  <c r="L31" i="7" s="1"/>
  <c r="L32" i="7" s="1"/>
  <c r="K12" i="7"/>
  <c r="K29" i="7" s="1"/>
  <c r="K31" i="7" s="1"/>
  <c r="K32" i="7" s="1"/>
  <c r="J12" i="7"/>
  <c r="J29" i="7" s="1"/>
  <c r="J31" i="7" s="1"/>
  <c r="J32" i="7" s="1"/>
  <c r="I12" i="7"/>
  <c r="I29" i="7" s="1"/>
  <c r="I31" i="7" s="1"/>
  <c r="I32" i="7" s="1"/>
  <c r="N11" i="7"/>
  <c r="N10" i="7"/>
  <c r="G14" i="3" s="1"/>
  <c r="N9" i="7"/>
  <c r="C34" i="7" s="1"/>
  <c r="I8" i="7"/>
  <c r="S7" i="7"/>
  <c r="A1" i="7"/>
  <c r="C65" i="6"/>
  <c r="C64" i="6"/>
  <c r="S11" i="3" s="1"/>
  <c r="C62" i="6"/>
  <c r="C61" i="6"/>
  <c r="R11" i="3" s="1"/>
  <c r="T59" i="6"/>
  <c r="S59" i="6"/>
  <c r="M59" i="6"/>
  <c r="L59" i="6"/>
  <c r="K59" i="6"/>
  <c r="J59" i="6"/>
  <c r="I59" i="6"/>
  <c r="T58" i="6"/>
  <c r="S58" i="6"/>
  <c r="N58" i="6"/>
  <c r="T57" i="6"/>
  <c r="S57" i="6"/>
  <c r="M57" i="6"/>
  <c r="L57" i="6"/>
  <c r="K57" i="6"/>
  <c r="J57" i="6"/>
  <c r="I57" i="6"/>
  <c r="T56" i="6"/>
  <c r="S56" i="6"/>
  <c r="N56" i="6"/>
  <c r="T55" i="6"/>
  <c r="S55" i="6"/>
  <c r="E51" i="6"/>
  <c r="L11" i="4" s="1"/>
  <c r="Q50" i="6"/>
  <c r="S49" i="6"/>
  <c r="T49" i="6" s="1"/>
  <c r="S48" i="6"/>
  <c r="T48" i="6" s="1"/>
  <c r="E48" i="6"/>
  <c r="J11" i="4" s="1"/>
  <c r="S47" i="6"/>
  <c r="T47" i="6" s="1"/>
  <c r="N47" i="6"/>
  <c r="S46" i="6"/>
  <c r="T46" i="6" s="1"/>
  <c r="M46" i="6"/>
  <c r="L46" i="6"/>
  <c r="K46" i="6"/>
  <c r="J46" i="6"/>
  <c r="I46" i="6"/>
  <c r="S45" i="6"/>
  <c r="M45" i="6"/>
  <c r="L45" i="6"/>
  <c r="K45" i="6"/>
  <c r="J45" i="6"/>
  <c r="I45" i="6"/>
  <c r="E41" i="6"/>
  <c r="Z10" i="5" s="1"/>
  <c r="D41" i="6"/>
  <c r="Y10" i="5" s="1"/>
  <c r="M40" i="6"/>
  <c r="L40" i="6"/>
  <c r="K40" i="6"/>
  <c r="J40" i="6"/>
  <c r="I40" i="6"/>
  <c r="N36" i="6"/>
  <c r="N46" i="6" s="1"/>
  <c r="M35" i="6"/>
  <c r="L35" i="6"/>
  <c r="K35" i="6"/>
  <c r="J35" i="6"/>
  <c r="I35" i="6"/>
  <c r="D34" i="6"/>
  <c r="E34" i="6" s="1"/>
  <c r="C33" i="6"/>
  <c r="N30" i="6"/>
  <c r="N45" i="6" s="1"/>
  <c r="E29" i="6"/>
  <c r="E28" i="6"/>
  <c r="E27" i="6"/>
  <c r="E26" i="6"/>
  <c r="N24" i="6"/>
  <c r="T22" i="6"/>
  <c r="T26" i="6" s="1"/>
  <c r="T31" i="6" s="1"/>
  <c r="S22" i="6"/>
  <c r="S26" i="6" s="1"/>
  <c r="S31" i="6" s="1"/>
  <c r="N20" i="6"/>
  <c r="N19" i="6"/>
  <c r="N18" i="6"/>
  <c r="E18" i="6"/>
  <c r="E10" i="5" s="1"/>
  <c r="N16" i="6"/>
  <c r="N14" i="6"/>
  <c r="N13" i="6"/>
  <c r="T12" i="6"/>
  <c r="T17" i="6" s="1"/>
  <c r="S12" i="6"/>
  <c r="S17" i="6" s="1"/>
  <c r="M12" i="6"/>
  <c r="M29" i="6" s="1"/>
  <c r="M31" i="6" s="1"/>
  <c r="M32" i="6" s="1"/>
  <c r="L12" i="6"/>
  <c r="L29" i="6" s="1"/>
  <c r="L31" i="6" s="1"/>
  <c r="L32" i="6" s="1"/>
  <c r="K12" i="6"/>
  <c r="K29" i="6" s="1"/>
  <c r="K31" i="6" s="1"/>
  <c r="K32" i="6" s="1"/>
  <c r="J12" i="6"/>
  <c r="J29" i="6" s="1"/>
  <c r="J31" i="6" s="1"/>
  <c r="J32" i="6" s="1"/>
  <c r="I12" i="6"/>
  <c r="I29" i="6" s="1"/>
  <c r="I31" i="6" s="1"/>
  <c r="I32" i="6" s="1"/>
  <c r="N11" i="6"/>
  <c r="N10" i="6"/>
  <c r="C36" i="6" s="1"/>
  <c r="N9" i="6"/>
  <c r="T7" i="6" s="1"/>
  <c r="I8" i="6"/>
  <c r="S7" i="6"/>
  <c r="A1" i="6"/>
  <c r="AB37" i="5"/>
  <c r="D37" i="5"/>
  <c r="C37" i="5"/>
  <c r="B37" i="5"/>
  <c r="AB36" i="5"/>
  <c r="Z36" i="5"/>
  <c r="Y36" i="5"/>
  <c r="E36" i="5"/>
  <c r="D36" i="5"/>
  <c r="C36" i="5"/>
  <c r="B36" i="5"/>
  <c r="AB35" i="5"/>
  <c r="Z35" i="5"/>
  <c r="Y35" i="5"/>
  <c r="D35" i="5"/>
  <c r="C35" i="5"/>
  <c r="B35" i="5"/>
  <c r="AB34" i="5"/>
  <c r="D34" i="5"/>
  <c r="C34" i="5"/>
  <c r="B34" i="5"/>
  <c r="AB33" i="5"/>
  <c r="Z33" i="5"/>
  <c r="Y33" i="5"/>
  <c r="E33" i="5"/>
  <c r="D33" i="5"/>
  <c r="C33" i="5"/>
  <c r="B33" i="5"/>
  <c r="AB27" i="5"/>
  <c r="D27" i="5"/>
  <c r="C27" i="5"/>
  <c r="B27" i="5"/>
  <c r="AB26" i="5"/>
  <c r="D26" i="5"/>
  <c r="C26" i="5"/>
  <c r="B26" i="5"/>
  <c r="AB25" i="5"/>
  <c r="Z25" i="5"/>
  <c r="Y25" i="5"/>
  <c r="D25" i="5"/>
  <c r="C25" i="5"/>
  <c r="B25" i="5"/>
  <c r="AB24" i="5"/>
  <c r="D24" i="5"/>
  <c r="C24" i="5"/>
  <c r="B24" i="5"/>
  <c r="AB23" i="5"/>
  <c r="E23" i="5"/>
  <c r="D23" i="5"/>
  <c r="C23" i="5"/>
  <c r="B23" i="5"/>
  <c r="AB17" i="5"/>
  <c r="D17" i="5"/>
  <c r="C17" i="5"/>
  <c r="B17" i="5"/>
  <c r="AB16" i="5"/>
  <c r="D16" i="5"/>
  <c r="C16" i="5"/>
  <c r="B16" i="5"/>
  <c r="AB15" i="5"/>
  <c r="D15" i="5"/>
  <c r="C15" i="5"/>
  <c r="B15" i="5"/>
  <c r="AB14" i="5"/>
  <c r="D14" i="5"/>
  <c r="C14" i="5"/>
  <c r="B14" i="5"/>
  <c r="AB13" i="5"/>
  <c r="D13" i="5"/>
  <c r="C13" i="5"/>
  <c r="B13" i="5"/>
  <c r="AB10" i="5"/>
  <c r="D10" i="5"/>
  <c r="C10" i="5"/>
  <c r="B10" i="5"/>
  <c r="U38" i="4"/>
  <c r="T38" i="4"/>
  <c r="L38" i="4"/>
  <c r="E38" i="4"/>
  <c r="D38" i="4"/>
  <c r="C38" i="4"/>
  <c r="B38" i="4"/>
  <c r="U37" i="4"/>
  <c r="T37" i="4"/>
  <c r="E37" i="4"/>
  <c r="D37" i="4"/>
  <c r="C37" i="4"/>
  <c r="B37" i="4"/>
  <c r="U36" i="4"/>
  <c r="T36" i="4"/>
  <c r="E36" i="4"/>
  <c r="D36" i="4"/>
  <c r="C36" i="4"/>
  <c r="B36" i="4"/>
  <c r="U35" i="4"/>
  <c r="T35" i="4"/>
  <c r="L35" i="4"/>
  <c r="E35" i="4"/>
  <c r="D35" i="4"/>
  <c r="C35" i="4"/>
  <c r="B35" i="4"/>
  <c r="U34" i="4"/>
  <c r="T34" i="4"/>
  <c r="E34" i="4"/>
  <c r="D34" i="4"/>
  <c r="C34" i="4"/>
  <c r="B34" i="4"/>
  <c r="U28" i="4"/>
  <c r="T28" i="4"/>
  <c r="J28" i="4"/>
  <c r="E28" i="4"/>
  <c r="D28" i="4"/>
  <c r="C28" i="4"/>
  <c r="B28" i="4"/>
  <c r="U27" i="4"/>
  <c r="T27" i="4"/>
  <c r="E27" i="4"/>
  <c r="D27" i="4"/>
  <c r="C27" i="4"/>
  <c r="B27" i="4"/>
  <c r="U26" i="4"/>
  <c r="T26" i="4"/>
  <c r="E26" i="4"/>
  <c r="D26" i="4"/>
  <c r="C26" i="4"/>
  <c r="B26" i="4"/>
  <c r="U25" i="4"/>
  <c r="T25" i="4"/>
  <c r="J25" i="4"/>
  <c r="E25" i="4"/>
  <c r="D25" i="4"/>
  <c r="C25" i="4"/>
  <c r="B25" i="4"/>
  <c r="U24" i="4"/>
  <c r="T24" i="4"/>
  <c r="E24" i="4"/>
  <c r="D24" i="4"/>
  <c r="C24" i="4"/>
  <c r="B24" i="4"/>
  <c r="U18" i="4"/>
  <c r="T18" i="4"/>
  <c r="E18" i="4"/>
  <c r="D18" i="4"/>
  <c r="C18" i="4"/>
  <c r="B18" i="4"/>
  <c r="U17" i="4"/>
  <c r="T17" i="4"/>
  <c r="E17" i="4"/>
  <c r="D17" i="4"/>
  <c r="C17" i="4"/>
  <c r="B17" i="4"/>
  <c r="U16" i="4"/>
  <c r="T16" i="4"/>
  <c r="E16" i="4"/>
  <c r="D16" i="4"/>
  <c r="C16" i="4"/>
  <c r="B16" i="4"/>
  <c r="U15" i="4"/>
  <c r="T15" i="4"/>
  <c r="E15" i="4"/>
  <c r="D15" i="4"/>
  <c r="C15" i="4"/>
  <c r="B15" i="4"/>
  <c r="U14" i="4"/>
  <c r="T14" i="4"/>
  <c r="E14" i="4"/>
  <c r="D14" i="4"/>
  <c r="C14" i="4"/>
  <c r="B14" i="4"/>
  <c r="U11" i="4"/>
  <c r="T11" i="4"/>
  <c r="E11" i="4"/>
  <c r="D11" i="4"/>
  <c r="C11" i="4"/>
  <c r="B11" i="4"/>
  <c r="Q49" i="3"/>
  <c r="Q48" i="3"/>
  <c r="X38" i="3"/>
  <c r="S38" i="3"/>
  <c r="R38" i="3"/>
  <c r="C38" i="3"/>
  <c r="B38" i="3"/>
  <c r="X37" i="3"/>
  <c r="S37" i="3"/>
  <c r="C37" i="3"/>
  <c r="B37" i="3"/>
  <c r="X36" i="3"/>
  <c r="C36" i="3"/>
  <c r="B36" i="3"/>
  <c r="X35" i="3"/>
  <c r="S35" i="3"/>
  <c r="R35" i="3"/>
  <c r="C35" i="3"/>
  <c r="B35" i="3"/>
  <c r="X34" i="3"/>
  <c r="R34" i="3"/>
  <c r="G34" i="3"/>
  <c r="C34" i="3"/>
  <c r="B34" i="3"/>
  <c r="X28" i="3"/>
  <c r="C28" i="3"/>
  <c r="B28" i="3"/>
  <c r="X27" i="3"/>
  <c r="R27" i="3"/>
  <c r="C27" i="3"/>
  <c r="B27" i="3"/>
  <c r="X26" i="3"/>
  <c r="S26" i="3"/>
  <c r="C26" i="3"/>
  <c r="B26" i="3"/>
  <c r="X25" i="3"/>
  <c r="C25" i="3"/>
  <c r="B25" i="3"/>
  <c r="X24" i="3"/>
  <c r="G24" i="3"/>
  <c r="C24" i="3"/>
  <c r="B24" i="3"/>
  <c r="X18" i="3"/>
  <c r="C18" i="3"/>
  <c r="B18" i="3"/>
  <c r="X17" i="3"/>
  <c r="C17" i="3"/>
  <c r="B17" i="3"/>
  <c r="X16" i="3"/>
  <c r="C16" i="3"/>
  <c r="B16" i="3"/>
  <c r="X15" i="3"/>
  <c r="C15" i="3"/>
  <c r="B15" i="3"/>
  <c r="X14" i="3"/>
  <c r="C14" i="3"/>
  <c r="B14" i="3"/>
  <c r="X11" i="3"/>
  <c r="C11" i="3"/>
  <c r="B11" i="3"/>
  <c r="C20" i="2"/>
  <c r="B20" i="2"/>
  <c r="A20" i="2"/>
  <c r="C19" i="2"/>
  <c r="B19" i="2"/>
  <c r="A19" i="2"/>
  <c r="C18" i="2"/>
  <c r="B18" i="2"/>
  <c r="A18" i="2"/>
  <c r="C17" i="2"/>
  <c r="B17" i="2"/>
  <c r="A17" i="2"/>
  <c r="F16" i="2"/>
  <c r="C16" i="2"/>
  <c r="B16" i="2"/>
  <c r="A16" i="2"/>
  <c r="C15" i="2"/>
  <c r="B15" i="2"/>
  <c r="A15" i="2"/>
  <c r="C14" i="2"/>
  <c r="B14" i="2"/>
  <c r="A14" i="2"/>
  <c r="C13" i="2"/>
  <c r="B13" i="2"/>
  <c r="A13" i="2"/>
  <c r="C12" i="2"/>
  <c r="B12" i="2"/>
  <c r="A12" i="2"/>
  <c r="C11" i="2"/>
  <c r="B11" i="2"/>
  <c r="A11" i="2"/>
  <c r="C10" i="2"/>
  <c r="B10" i="2"/>
  <c r="A10" i="2"/>
  <c r="C9" i="2"/>
  <c r="B9" i="2"/>
  <c r="A9" i="2"/>
  <c r="C8" i="2"/>
  <c r="B8" i="2"/>
  <c r="A8" i="2"/>
  <c r="C7" i="2"/>
  <c r="B7" i="2"/>
  <c r="A7" i="2"/>
  <c r="C6" i="2"/>
  <c r="B6" i="2"/>
  <c r="A6" i="2"/>
  <c r="C5" i="2"/>
  <c r="B5" i="2"/>
  <c r="A5" i="2"/>
  <c r="G16" i="3" l="1"/>
  <c r="F10" i="2"/>
  <c r="M48" i="8"/>
  <c r="F11" i="2"/>
  <c r="F5" i="2"/>
  <c r="G11" i="3"/>
  <c r="G17" i="3"/>
  <c r="F9" i="2"/>
  <c r="F12" i="2"/>
  <c r="F7" i="2"/>
  <c r="G25" i="3"/>
  <c r="L15" i="17"/>
  <c r="L17" i="17" s="1"/>
  <c r="L21" i="17" s="1"/>
  <c r="F15" i="2"/>
  <c r="J48" i="14"/>
  <c r="K48" i="6"/>
  <c r="G15" i="3"/>
  <c r="N35" i="6"/>
  <c r="M48" i="19"/>
  <c r="J15" i="7"/>
  <c r="J34" i="7" s="1"/>
  <c r="J37" i="7" s="1"/>
  <c r="J38" i="7" s="1"/>
  <c r="J48" i="16"/>
  <c r="L29" i="20"/>
  <c r="L31" i="20" s="1"/>
  <c r="L32" i="20" s="1"/>
  <c r="G26" i="3"/>
  <c r="M48" i="14"/>
  <c r="I48" i="14"/>
  <c r="N12" i="16"/>
  <c r="N29" i="16" s="1"/>
  <c r="N31" i="16" s="1"/>
  <c r="I48" i="10"/>
  <c r="C34" i="16"/>
  <c r="M48" i="7"/>
  <c r="G36" i="3"/>
  <c r="S32" i="8"/>
  <c r="J48" i="10"/>
  <c r="T32" i="9"/>
  <c r="L48" i="12"/>
  <c r="K48" i="15"/>
  <c r="K48" i="19"/>
  <c r="F18" i="2"/>
  <c r="L48" i="19"/>
  <c r="M15" i="8"/>
  <c r="M34" i="8" s="1"/>
  <c r="M37" i="8" s="1"/>
  <c r="J15" i="21"/>
  <c r="J17" i="21" s="1"/>
  <c r="N59" i="6"/>
  <c r="K15" i="21"/>
  <c r="K34" i="21" s="1"/>
  <c r="K37" i="21" s="1"/>
  <c r="K38" i="21" s="1"/>
  <c r="N35" i="11"/>
  <c r="K48" i="16"/>
  <c r="K15" i="19"/>
  <c r="AB40" i="5"/>
  <c r="L48" i="8"/>
  <c r="T32" i="19"/>
  <c r="M15" i="6"/>
  <c r="M17" i="6" s="1"/>
  <c r="M21" i="6" s="1"/>
  <c r="T32" i="16"/>
  <c r="G27" i="3"/>
  <c r="I48" i="7"/>
  <c r="C34" i="9"/>
  <c r="K48" i="9"/>
  <c r="N59" i="9"/>
  <c r="K48" i="12"/>
  <c r="L48" i="16"/>
  <c r="N12" i="17"/>
  <c r="N15" i="17" s="1"/>
  <c r="L20" i="4"/>
  <c r="N48" i="16"/>
  <c r="F19" i="2"/>
  <c r="S32" i="7"/>
  <c r="M17" i="8"/>
  <c r="M22" i="8" s="1"/>
  <c r="J48" i="8"/>
  <c r="M15" i="16"/>
  <c r="M34" i="16" s="1"/>
  <c r="M37" i="16" s="1"/>
  <c r="M41" i="16" s="1"/>
  <c r="M42" i="16" s="1"/>
  <c r="J48" i="17"/>
  <c r="N59" i="17"/>
  <c r="I48" i="20"/>
  <c r="N48" i="8"/>
  <c r="M48" i="21"/>
  <c r="I48" i="11"/>
  <c r="T32" i="18"/>
  <c r="N57" i="19"/>
  <c r="S32" i="20"/>
  <c r="K48" i="20"/>
  <c r="N59" i="15"/>
  <c r="N59" i="10"/>
  <c r="J48" i="11"/>
  <c r="N59" i="12"/>
  <c r="I37" i="16"/>
  <c r="I38" i="16" s="1"/>
  <c r="C36" i="20"/>
  <c r="I48" i="21"/>
  <c r="G35" i="3"/>
  <c r="T7" i="20"/>
  <c r="M48" i="20"/>
  <c r="N57" i="7"/>
  <c r="L29" i="15"/>
  <c r="L31" i="15" s="1"/>
  <c r="L32" i="15" s="1"/>
  <c r="J48" i="19"/>
  <c r="J34" i="14"/>
  <c r="J37" i="14" s="1"/>
  <c r="J38" i="14" s="1"/>
  <c r="J17" i="14"/>
  <c r="Z19" i="5"/>
  <c r="S32" i="6"/>
  <c r="T7" i="7"/>
  <c r="N48" i="9"/>
  <c r="M48" i="10"/>
  <c r="I48" i="12"/>
  <c r="J15" i="16"/>
  <c r="T60" i="18"/>
  <c r="T39" i="18" s="1"/>
  <c r="S32" i="19"/>
  <c r="T60" i="19"/>
  <c r="T39" i="19" s="1"/>
  <c r="L48" i="7"/>
  <c r="N59" i="8"/>
  <c r="T7" i="13"/>
  <c r="N35" i="16"/>
  <c r="J48" i="6"/>
  <c r="T7" i="11"/>
  <c r="T7" i="12"/>
  <c r="J29" i="14"/>
  <c r="J31" i="14" s="1"/>
  <c r="J32" i="14" s="1"/>
  <c r="M29" i="15"/>
  <c r="M31" i="15" s="1"/>
  <c r="M32" i="15" s="1"/>
  <c r="T7" i="17"/>
  <c r="K29" i="14"/>
  <c r="K31" i="14" s="1"/>
  <c r="K32" i="14" s="1"/>
  <c r="N45" i="14"/>
  <c r="N48" i="14" s="1"/>
  <c r="L15" i="6"/>
  <c r="L17" i="6" s="1"/>
  <c r="L21" i="6" s="1"/>
  <c r="T32" i="10"/>
  <c r="S50" i="21"/>
  <c r="T36" i="21" s="1"/>
  <c r="N57" i="11"/>
  <c r="J29" i="11"/>
  <c r="J31" i="11" s="1"/>
  <c r="J32" i="11" s="1"/>
  <c r="M48" i="11"/>
  <c r="N12" i="13"/>
  <c r="N29" i="13" s="1"/>
  <c r="N31" i="13" s="1"/>
  <c r="T45" i="21"/>
  <c r="T50" i="21" s="1"/>
  <c r="T37" i="21" s="1"/>
  <c r="E20" i="4"/>
  <c r="I48" i="17"/>
  <c r="T32" i="21"/>
  <c r="Y40" i="5"/>
  <c r="J48" i="9"/>
  <c r="J15" i="10"/>
  <c r="J17" i="10" s="1"/>
  <c r="S50" i="10"/>
  <c r="T36" i="10" s="1"/>
  <c r="C34" i="14"/>
  <c r="L37" i="15"/>
  <c r="L38" i="15" s="1"/>
  <c r="M48" i="15"/>
  <c r="K15" i="18"/>
  <c r="K17" i="18" s="1"/>
  <c r="K21" i="18" s="1"/>
  <c r="N48" i="18"/>
  <c r="L48" i="18"/>
  <c r="J48" i="21"/>
  <c r="L15" i="10"/>
  <c r="L34" i="10" s="1"/>
  <c r="L37" i="10" s="1"/>
  <c r="L38" i="10" s="1"/>
  <c r="L48" i="4"/>
  <c r="N57" i="13"/>
  <c r="I48" i="15"/>
  <c r="K29" i="17"/>
  <c r="K31" i="17" s="1"/>
  <c r="K32" i="17" s="1"/>
  <c r="K48" i="17"/>
  <c r="K48" i="8"/>
  <c r="N12" i="10"/>
  <c r="N29" i="10" s="1"/>
  <c r="N31" i="10" s="1"/>
  <c r="L48" i="17"/>
  <c r="S50" i="18"/>
  <c r="T36" i="18" s="1"/>
  <c r="M48" i="9"/>
  <c r="K48" i="10"/>
  <c r="M48" i="12"/>
  <c r="S32" i="13"/>
  <c r="F6" i="2"/>
  <c r="X41" i="3"/>
  <c r="M48" i="6"/>
  <c r="J48" i="7"/>
  <c r="S50" i="14"/>
  <c r="T36" i="14" s="1"/>
  <c r="N59" i="19"/>
  <c r="S32" i="10"/>
  <c r="J17" i="8"/>
  <c r="J21" i="8" s="1"/>
  <c r="J34" i="8"/>
  <c r="J37" i="8" s="1"/>
  <c r="J38" i="8" s="1"/>
  <c r="K17" i="14"/>
  <c r="K21" i="14" s="1"/>
  <c r="K34" i="14"/>
  <c r="K37" i="14" s="1"/>
  <c r="K38" i="14" s="1"/>
  <c r="N48" i="12"/>
  <c r="J17" i="11"/>
  <c r="J21" i="11" s="1"/>
  <c r="J25" i="11" s="1"/>
  <c r="J34" i="11"/>
  <c r="J37" i="11" s="1"/>
  <c r="J38" i="11" s="1"/>
  <c r="K17" i="11"/>
  <c r="K22" i="11" s="1"/>
  <c r="K34" i="11"/>
  <c r="K37" i="11" s="1"/>
  <c r="K38" i="11" s="1"/>
  <c r="L34" i="13"/>
  <c r="L37" i="13" s="1"/>
  <c r="L38" i="13" s="1"/>
  <c r="L17" i="13"/>
  <c r="L22" i="13" s="1"/>
  <c r="K17" i="17"/>
  <c r="K22" i="17" s="1"/>
  <c r="K34" i="17"/>
  <c r="K37" i="17" s="1"/>
  <c r="K38" i="17" s="1"/>
  <c r="J17" i="18"/>
  <c r="J21" i="18" s="1"/>
  <c r="J44" i="18" s="1"/>
  <c r="J34" i="18"/>
  <c r="J37" i="18" s="1"/>
  <c r="J38" i="18" s="1"/>
  <c r="F20" i="2"/>
  <c r="I48" i="8"/>
  <c r="S32" i="9"/>
  <c r="K15" i="10"/>
  <c r="K17" i="10" s="1"/>
  <c r="K21" i="10" s="1"/>
  <c r="N35" i="12"/>
  <c r="J48" i="12"/>
  <c r="M48" i="16"/>
  <c r="G38" i="3"/>
  <c r="N48" i="6"/>
  <c r="I15" i="7"/>
  <c r="S50" i="9"/>
  <c r="T36" i="9" s="1"/>
  <c r="T60" i="10"/>
  <c r="T39" i="10" s="1"/>
  <c r="K29" i="11"/>
  <c r="K31" i="11" s="1"/>
  <c r="K32" i="11" s="1"/>
  <c r="K29" i="13"/>
  <c r="K31" i="13" s="1"/>
  <c r="K32" i="13" s="1"/>
  <c r="J48" i="13"/>
  <c r="I15" i="14"/>
  <c r="T46" i="14"/>
  <c r="T50" i="14" s="1"/>
  <c r="T37" i="14" s="1"/>
  <c r="C36" i="16"/>
  <c r="I29" i="18"/>
  <c r="I31" i="18" s="1"/>
  <c r="I32" i="18" s="1"/>
  <c r="J40" i="4"/>
  <c r="I29" i="8"/>
  <c r="I31" i="8" s="1"/>
  <c r="I32" i="8" s="1"/>
  <c r="T60" i="9"/>
  <c r="T39" i="9" s="1"/>
  <c r="N57" i="10"/>
  <c r="N12" i="11"/>
  <c r="L29" i="13"/>
  <c r="L31" i="13" s="1"/>
  <c r="L32" i="13" s="1"/>
  <c r="N57" i="14"/>
  <c r="T32" i="14"/>
  <c r="L48" i="14"/>
  <c r="N59" i="16"/>
  <c r="T60" i="17"/>
  <c r="T39" i="17" s="1"/>
  <c r="J29" i="18"/>
  <c r="J31" i="18" s="1"/>
  <c r="J32" i="18" s="1"/>
  <c r="N45" i="19"/>
  <c r="N48" i="19" s="1"/>
  <c r="S50" i="20"/>
  <c r="T36" i="20" s="1"/>
  <c r="L40" i="4"/>
  <c r="S50" i="6"/>
  <c r="T36" i="6" s="1"/>
  <c r="N12" i="7"/>
  <c r="N15" i="7" s="1"/>
  <c r="T60" i="7"/>
  <c r="T39" i="7" s="1"/>
  <c r="J29" i="8"/>
  <c r="J31" i="8" s="1"/>
  <c r="J32" i="8" s="1"/>
  <c r="M15" i="9"/>
  <c r="I48" i="9"/>
  <c r="N35" i="10"/>
  <c r="N48" i="11"/>
  <c r="S32" i="12"/>
  <c r="N57" i="12"/>
  <c r="N48" i="13"/>
  <c r="L15" i="16"/>
  <c r="T60" i="16"/>
  <c r="T39" i="16" s="1"/>
  <c r="K48" i="18"/>
  <c r="C34" i="6"/>
  <c r="K29" i="8"/>
  <c r="K31" i="8" s="1"/>
  <c r="K32" i="8" s="1"/>
  <c r="T60" i="11"/>
  <c r="T39" i="11" s="1"/>
  <c r="S50" i="12"/>
  <c r="T36" i="12" s="1"/>
  <c r="J48" i="20"/>
  <c r="N45" i="15"/>
  <c r="N48" i="15" s="1"/>
  <c r="E40" i="4"/>
  <c r="AB19" i="5"/>
  <c r="C36" i="7"/>
  <c r="K48" i="7"/>
  <c r="N35" i="9"/>
  <c r="N48" i="10"/>
  <c r="C36" i="11"/>
  <c r="K48" i="11"/>
  <c r="T45" i="12"/>
  <c r="T50" i="12" s="1"/>
  <c r="T37" i="12" s="1"/>
  <c r="N57" i="17"/>
  <c r="M48" i="18"/>
  <c r="L15" i="19"/>
  <c r="L34" i="19" s="1"/>
  <c r="L37" i="19" s="1"/>
  <c r="K15" i="20"/>
  <c r="K34" i="20" s="1"/>
  <c r="K37" i="20" s="1"/>
  <c r="K38" i="20" s="1"/>
  <c r="X40" i="3"/>
  <c r="J20" i="4"/>
  <c r="J46" i="4"/>
  <c r="Y19" i="5"/>
  <c r="S50" i="7"/>
  <c r="T36" i="7" s="1"/>
  <c r="N35" i="8"/>
  <c r="S50" i="8"/>
  <c r="T36" i="8" s="1"/>
  <c r="I29" i="9"/>
  <c r="I31" i="9" s="1"/>
  <c r="I32" i="9" s="1"/>
  <c r="L48" i="11"/>
  <c r="T32" i="12"/>
  <c r="I48" i="13"/>
  <c r="T60" i="14"/>
  <c r="T39" i="14" s="1"/>
  <c r="I17" i="16"/>
  <c r="I22" i="16" s="1"/>
  <c r="T50" i="16"/>
  <c r="T37" i="16" s="1"/>
  <c r="S32" i="18"/>
  <c r="M15" i="19"/>
  <c r="M34" i="19" s="1"/>
  <c r="M37" i="19" s="1"/>
  <c r="M38" i="19" s="1"/>
  <c r="N40" i="19"/>
  <c r="I36" i="3" s="1"/>
  <c r="N59" i="20"/>
  <c r="L46" i="4"/>
  <c r="L48" i="6"/>
  <c r="I15" i="15"/>
  <c r="T45" i="18"/>
  <c r="T50" i="18" s="1"/>
  <c r="T37" i="18" s="1"/>
  <c r="N12" i="20"/>
  <c r="N15" i="20" s="1"/>
  <c r="T60" i="20"/>
  <c r="T39" i="20" s="1"/>
  <c r="S20" i="3"/>
  <c r="S45" i="3"/>
  <c r="T60" i="6"/>
  <c r="T39" i="6" s="1"/>
  <c r="T32" i="8"/>
  <c r="T7" i="10"/>
  <c r="S50" i="11"/>
  <c r="T36" i="11" s="1"/>
  <c r="K48" i="13"/>
  <c r="N59" i="13"/>
  <c r="J48" i="15"/>
  <c r="T60" i="15"/>
  <c r="T39" i="15" s="1"/>
  <c r="M48" i="17"/>
  <c r="I48" i="18"/>
  <c r="N57" i="20"/>
  <c r="Y30" i="5"/>
  <c r="I48" i="6"/>
  <c r="N57" i="6"/>
  <c r="T60" i="8"/>
  <c r="T39" i="8" s="1"/>
  <c r="N40" i="13"/>
  <c r="I25" i="3" s="1"/>
  <c r="L48" i="13"/>
  <c r="T60" i="13"/>
  <c r="T39" i="13" s="1"/>
  <c r="S32" i="14"/>
  <c r="L17" i="15"/>
  <c r="L21" i="15" s="1"/>
  <c r="J48" i="18"/>
  <c r="I48" i="19"/>
  <c r="L48" i="21"/>
  <c r="T50" i="17"/>
  <c r="T37" i="17" s="1"/>
  <c r="T60" i="21"/>
  <c r="T39" i="21" s="1"/>
  <c r="Z48" i="5"/>
  <c r="Z47" i="5"/>
  <c r="Z44" i="5"/>
  <c r="Z30" i="5"/>
  <c r="Z29" i="5"/>
  <c r="AB45" i="5"/>
  <c r="AB44" i="5"/>
  <c r="AB48" i="5"/>
  <c r="AB47" i="5"/>
  <c r="AB30" i="5"/>
  <c r="AB29" i="5"/>
  <c r="R45" i="3"/>
  <c r="E45" i="4"/>
  <c r="E46" i="4"/>
  <c r="E48" i="4"/>
  <c r="E49" i="4"/>
  <c r="E30" i="4"/>
  <c r="E31" i="4"/>
  <c r="R20" i="3"/>
  <c r="R21" i="3"/>
  <c r="R49" i="3"/>
  <c r="R40" i="3"/>
  <c r="R41" i="3"/>
  <c r="Z45" i="5"/>
  <c r="J48" i="4"/>
  <c r="AB20" i="5"/>
  <c r="X45" i="3"/>
  <c r="S40" i="3"/>
  <c r="S41" i="3"/>
  <c r="J45" i="4"/>
  <c r="L49" i="4"/>
  <c r="X20" i="3"/>
  <c r="J21" i="4"/>
  <c r="J41" i="4"/>
  <c r="L45" i="4"/>
  <c r="Y29" i="5"/>
  <c r="Y39" i="5"/>
  <c r="S21" i="3"/>
  <c r="L21" i="4"/>
  <c r="L41" i="4"/>
  <c r="Z39" i="5"/>
  <c r="J41" i="7"/>
  <c r="J42" i="7" s="1"/>
  <c r="R31" i="3"/>
  <c r="R46" i="3"/>
  <c r="R48" i="3"/>
  <c r="AB39" i="5"/>
  <c r="R30" i="3"/>
  <c r="S31" i="3"/>
  <c r="S46" i="3"/>
  <c r="S48" i="3"/>
  <c r="S49" i="3"/>
  <c r="S30" i="3"/>
  <c r="I17" i="9"/>
  <c r="I34" i="9"/>
  <c r="I37" i="9" s="1"/>
  <c r="I38" i="9" s="1"/>
  <c r="X21" i="3"/>
  <c r="J31" i="4"/>
  <c r="T32" i="6"/>
  <c r="N48" i="7"/>
  <c r="I21" i="8"/>
  <c r="I22" i="8"/>
  <c r="J34" i="9"/>
  <c r="J37" i="9" s="1"/>
  <c r="J38" i="9" s="1"/>
  <c r="J17" i="9"/>
  <c r="J30" i="4"/>
  <c r="L31" i="4"/>
  <c r="K34" i="9"/>
  <c r="K37" i="9" s="1"/>
  <c r="K38" i="9" s="1"/>
  <c r="K17" i="9"/>
  <c r="X31" i="3"/>
  <c r="X46" i="3"/>
  <c r="X48" i="3"/>
  <c r="X49" i="3"/>
  <c r="E21" i="4"/>
  <c r="L30" i="4"/>
  <c r="E41" i="4"/>
  <c r="J49" i="4"/>
  <c r="K21" i="8"/>
  <c r="K22" i="8"/>
  <c r="T50" i="9"/>
  <c r="T37" i="9" s="1"/>
  <c r="X30" i="3"/>
  <c r="Y47" i="5"/>
  <c r="Y45" i="5"/>
  <c r="Y44" i="5"/>
  <c r="Y48" i="5"/>
  <c r="Z40" i="5"/>
  <c r="T32" i="7"/>
  <c r="T50" i="8"/>
  <c r="T37" i="8" s="1"/>
  <c r="K15" i="6"/>
  <c r="N40" i="6"/>
  <c r="N35" i="7"/>
  <c r="L15" i="9"/>
  <c r="M29" i="10"/>
  <c r="M31" i="10" s="1"/>
  <c r="M32" i="10" s="1"/>
  <c r="M15" i="10"/>
  <c r="L48" i="10"/>
  <c r="I29" i="11"/>
  <c r="I31" i="11" s="1"/>
  <c r="I32" i="11" s="1"/>
  <c r="I15" i="11"/>
  <c r="J17" i="7"/>
  <c r="N57" i="8"/>
  <c r="I29" i="13"/>
  <c r="I31" i="13" s="1"/>
  <c r="I32" i="13" s="1"/>
  <c r="I15" i="13"/>
  <c r="L29" i="14"/>
  <c r="L31" i="14" s="1"/>
  <c r="L32" i="14" s="1"/>
  <c r="L15" i="14"/>
  <c r="C34" i="8"/>
  <c r="T45" i="10"/>
  <c r="T50" i="10" s="1"/>
  <c r="T37" i="10" s="1"/>
  <c r="L29" i="11"/>
  <c r="L31" i="11" s="1"/>
  <c r="L32" i="11" s="1"/>
  <c r="L15" i="11"/>
  <c r="S32" i="11"/>
  <c r="T60" i="12"/>
  <c r="T39" i="12" s="1"/>
  <c r="J29" i="13"/>
  <c r="J31" i="13" s="1"/>
  <c r="J32" i="13" s="1"/>
  <c r="J15" i="13"/>
  <c r="M29" i="11"/>
  <c r="M31" i="11" s="1"/>
  <c r="M32" i="11" s="1"/>
  <c r="M15" i="11"/>
  <c r="T32" i="11"/>
  <c r="T32" i="13"/>
  <c r="N12" i="6"/>
  <c r="T47" i="7"/>
  <c r="T50" i="7" s="1"/>
  <c r="T37" i="7" s="1"/>
  <c r="N59" i="7"/>
  <c r="L15" i="8"/>
  <c r="L48" i="9"/>
  <c r="I34" i="8"/>
  <c r="I37" i="8" s="1"/>
  <c r="I38" i="8" s="1"/>
  <c r="T50" i="13"/>
  <c r="T37" i="13" s="1"/>
  <c r="J29" i="15"/>
  <c r="J31" i="15" s="1"/>
  <c r="J32" i="15" s="1"/>
  <c r="J15" i="15"/>
  <c r="K34" i="16"/>
  <c r="K37" i="16" s="1"/>
  <c r="K38" i="16" s="1"/>
  <c r="K17" i="16"/>
  <c r="J29" i="9"/>
  <c r="J31" i="9" s="1"/>
  <c r="J32" i="9" s="1"/>
  <c r="K29" i="15"/>
  <c r="K31" i="15" s="1"/>
  <c r="K32" i="15" s="1"/>
  <c r="K15" i="15"/>
  <c r="T45" i="6"/>
  <c r="T50" i="6" s="1"/>
  <c r="T37" i="6" s="1"/>
  <c r="K15" i="7"/>
  <c r="K34" i="8"/>
  <c r="K37" i="8" s="1"/>
  <c r="K38" i="8" s="1"/>
  <c r="K29" i="9"/>
  <c r="K31" i="9" s="1"/>
  <c r="K32" i="9" s="1"/>
  <c r="I29" i="10"/>
  <c r="I31" i="10" s="1"/>
  <c r="I32" i="10" s="1"/>
  <c r="I15" i="10"/>
  <c r="L48" i="15"/>
  <c r="L15" i="7"/>
  <c r="N12" i="8"/>
  <c r="M17" i="15"/>
  <c r="M34" i="15"/>
  <c r="M37" i="15" s="1"/>
  <c r="S32" i="17"/>
  <c r="I15" i="6"/>
  <c r="M15" i="7"/>
  <c r="C36" i="9"/>
  <c r="N12" i="9"/>
  <c r="N57" i="9"/>
  <c r="S32" i="16"/>
  <c r="J15" i="6"/>
  <c r="M29" i="12"/>
  <c r="M31" i="12" s="1"/>
  <c r="M32" i="12" s="1"/>
  <c r="M15" i="12"/>
  <c r="K17" i="13"/>
  <c r="K34" i="13"/>
  <c r="K37" i="13" s="1"/>
  <c r="K38" i="13" s="1"/>
  <c r="C34" i="19"/>
  <c r="T7" i="19"/>
  <c r="K34" i="19"/>
  <c r="K37" i="19" s="1"/>
  <c r="K38" i="19" s="1"/>
  <c r="K17" i="19"/>
  <c r="L34" i="20"/>
  <c r="L37" i="20" s="1"/>
  <c r="L17" i="20"/>
  <c r="I15" i="12"/>
  <c r="M15" i="13"/>
  <c r="M29" i="14"/>
  <c r="M31" i="14" s="1"/>
  <c r="M32" i="14" s="1"/>
  <c r="M15" i="14"/>
  <c r="N40" i="15"/>
  <c r="N57" i="15"/>
  <c r="J15" i="12"/>
  <c r="M48" i="13"/>
  <c r="N12" i="14"/>
  <c r="C36" i="14"/>
  <c r="S50" i="15"/>
  <c r="T36" i="15" s="1"/>
  <c r="T46" i="15"/>
  <c r="T50" i="15" s="1"/>
  <c r="T37" i="15" s="1"/>
  <c r="I29" i="20"/>
  <c r="I31" i="20" s="1"/>
  <c r="I32" i="20" s="1"/>
  <c r="I15" i="20"/>
  <c r="T45" i="11"/>
  <c r="T50" i="11" s="1"/>
  <c r="T37" i="11" s="1"/>
  <c r="K15" i="12"/>
  <c r="N35" i="13"/>
  <c r="N59" i="14"/>
  <c r="S32" i="15"/>
  <c r="J29" i="20"/>
  <c r="J31" i="20" s="1"/>
  <c r="J32" i="20" s="1"/>
  <c r="J15" i="20"/>
  <c r="N59" i="11"/>
  <c r="L15" i="12"/>
  <c r="S50" i="13"/>
  <c r="T36" i="13" s="1"/>
  <c r="T32" i="15"/>
  <c r="T32" i="17"/>
  <c r="T7" i="18"/>
  <c r="C34" i="18"/>
  <c r="I34" i="18"/>
  <c r="I37" i="18" s="1"/>
  <c r="I17" i="18"/>
  <c r="T45" i="20"/>
  <c r="T50" i="20" s="1"/>
  <c r="T37" i="20" s="1"/>
  <c r="C34" i="15"/>
  <c r="T7" i="15"/>
  <c r="C36" i="18"/>
  <c r="N12" i="18"/>
  <c r="N57" i="18"/>
  <c r="N59" i="18"/>
  <c r="N12" i="12"/>
  <c r="K48" i="14"/>
  <c r="C36" i="15"/>
  <c r="N12" i="15"/>
  <c r="T32" i="20"/>
  <c r="N45" i="20"/>
  <c r="N48" i="20" s="1"/>
  <c r="I15" i="21"/>
  <c r="N45" i="21"/>
  <c r="N48" i="21" s="1"/>
  <c r="N35" i="21"/>
  <c r="K17" i="21"/>
  <c r="I29" i="16"/>
  <c r="I31" i="16" s="1"/>
  <c r="I32" i="16" s="1"/>
  <c r="I29" i="19"/>
  <c r="I31" i="19" s="1"/>
  <c r="I32" i="19" s="1"/>
  <c r="I15" i="19"/>
  <c r="S50" i="19"/>
  <c r="T36" i="19" s="1"/>
  <c r="N57" i="16"/>
  <c r="J15" i="17"/>
  <c r="J29" i="19"/>
  <c r="J31" i="19" s="1"/>
  <c r="J32" i="19" s="1"/>
  <c r="J15" i="19"/>
  <c r="T50" i="19"/>
  <c r="T37" i="19" s="1"/>
  <c r="M29" i="20"/>
  <c r="M31" i="20" s="1"/>
  <c r="M32" i="20" s="1"/>
  <c r="M15" i="20"/>
  <c r="L29" i="21"/>
  <c r="L31" i="21" s="1"/>
  <c r="L32" i="21" s="1"/>
  <c r="L15" i="21"/>
  <c r="K29" i="16"/>
  <c r="K31" i="16" s="1"/>
  <c r="K32" i="16" s="1"/>
  <c r="I48" i="16"/>
  <c r="I29" i="17"/>
  <c r="I31" i="17" s="1"/>
  <c r="I32" i="17" s="1"/>
  <c r="I15" i="17"/>
  <c r="L29" i="18"/>
  <c r="L31" i="18" s="1"/>
  <c r="L32" i="18" s="1"/>
  <c r="L15" i="18"/>
  <c r="N12" i="21"/>
  <c r="K48" i="21"/>
  <c r="N57" i="21"/>
  <c r="M29" i="18"/>
  <c r="M31" i="18" s="1"/>
  <c r="M32" i="18" s="1"/>
  <c r="M15" i="18"/>
  <c r="N35" i="18"/>
  <c r="S32" i="21"/>
  <c r="C34" i="21"/>
  <c r="N45" i="17"/>
  <c r="N48" i="17" s="1"/>
  <c r="L48" i="20"/>
  <c r="N59" i="21"/>
  <c r="N40" i="16"/>
  <c r="S50" i="16"/>
  <c r="T36" i="16" s="1"/>
  <c r="M29" i="17"/>
  <c r="M31" i="17" s="1"/>
  <c r="M32" i="17" s="1"/>
  <c r="M15" i="17"/>
  <c r="S50" i="17"/>
  <c r="T36" i="17" s="1"/>
  <c r="N12" i="19"/>
  <c r="M15" i="21"/>
  <c r="L22" i="17" l="1"/>
  <c r="K22" i="18"/>
  <c r="N29" i="17"/>
  <c r="N31" i="17" s="1"/>
  <c r="N15" i="16"/>
  <c r="L34" i="17"/>
  <c r="L37" i="17" s="1"/>
  <c r="L38" i="17" s="1"/>
  <c r="L17" i="19"/>
  <c r="K41" i="17"/>
  <c r="K42" i="17" s="1"/>
  <c r="K41" i="11"/>
  <c r="K42" i="11" s="1"/>
  <c r="M22" i="6"/>
  <c r="M34" i="6"/>
  <c r="M37" i="6" s="1"/>
  <c r="M38" i="6" s="1"/>
  <c r="L41" i="13"/>
  <c r="L42" i="13" s="1"/>
  <c r="J25" i="18"/>
  <c r="K41" i="20"/>
  <c r="D65" i="20" s="1"/>
  <c r="K17" i="20"/>
  <c r="K22" i="20" s="1"/>
  <c r="N29" i="20"/>
  <c r="N31" i="20" s="1"/>
  <c r="H37" i="3" s="1"/>
  <c r="I41" i="9"/>
  <c r="I42" i="9" s="1"/>
  <c r="J41" i="8"/>
  <c r="J42" i="8" s="1"/>
  <c r="T38" i="17"/>
  <c r="T40" i="17" s="1"/>
  <c r="E23" i="17" s="1"/>
  <c r="E24" i="17" s="1"/>
  <c r="N15" i="10"/>
  <c r="T38" i="20"/>
  <c r="T40" i="20" s="1"/>
  <c r="E23" i="20" s="1"/>
  <c r="E24" i="20" s="1"/>
  <c r="F36" i="5" s="1"/>
  <c r="K21" i="17"/>
  <c r="K25" i="17" s="1"/>
  <c r="J34" i="21"/>
  <c r="J37" i="21" s="1"/>
  <c r="J38" i="21" s="1"/>
  <c r="M21" i="8"/>
  <c r="M44" i="8" s="1"/>
  <c r="M49" i="8" s="1"/>
  <c r="M38" i="16"/>
  <c r="J41" i="18"/>
  <c r="J42" i="18" s="1"/>
  <c r="K22" i="14"/>
  <c r="I21" i="16"/>
  <c r="I44" i="16" s="1"/>
  <c r="I49" i="16" s="1"/>
  <c r="T38" i="8"/>
  <c r="T40" i="8" s="1"/>
  <c r="E23" i="8" s="1"/>
  <c r="E24" i="8" s="1"/>
  <c r="D15" i="3" s="1"/>
  <c r="T38" i="9"/>
  <c r="T40" i="9" s="1"/>
  <c r="E23" i="9" s="1"/>
  <c r="E24" i="9" s="1"/>
  <c r="E30" i="9" s="1"/>
  <c r="T38" i="7"/>
  <c r="T40" i="7" s="1"/>
  <c r="E23" i="7" s="1"/>
  <c r="E24" i="7" s="1"/>
  <c r="E30" i="7" s="1"/>
  <c r="N15" i="13"/>
  <c r="N34" i="13" s="1"/>
  <c r="N37" i="13" s="1"/>
  <c r="K22" i="10"/>
  <c r="K21" i="11"/>
  <c r="K44" i="11" s="1"/>
  <c r="K49" i="11" s="1"/>
  <c r="K34" i="18"/>
  <c r="K37" i="18" s="1"/>
  <c r="K38" i="18" s="1"/>
  <c r="M38" i="8"/>
  <c r="M41" i="8"/>
  <c r="M42" i="8" s="1"/>
  <c r="J41" i="9"/>
  <c r="J42" i="9" s="1"/>
  <c r="L22" i="6"/>
  <c r="L22" i="15"/>
  <c r="L34" i="6"/>
  <c r="L37" i="6" s="1"/>
  <c r="L38" i="6" s="1"/>
  <c r="M17" i="19"/>
  <c r="M22" i="19" s="1"/>
  <c r="J41" i="14"/>
  <c r="J42" i="14" s="1"/>
  <c r="L17" i="10"/>
  <c r="L41" i="10"/>
  <c r="L42" i="10" s="1"/>
  <c r="K41" i="13"/>
  <c r="D64" i="13" s="1"/>
  <c r="U25" i="3" s="1"/>
  <c r="T38" i="14"/>
  <c r="T40" i="14" s="1"/>
  <c r="E23" i="14" s="1"/>
  <c r="E24" i="14" s="1"/>
  <c r="M17" i="16"/>
  <c r="M21" i="16" s="1"/>
  <c r="N29" i="7"/>
  <c r="N31" i="7" s="1"/>
  <c r="N32" i="7" s="1"/>
  <c r="M14" i="3" s="1"/>
  <c r="I41" i="16"/>
  <c r="I42" i="16" s="1"/>
  <c r="T38" i="6"/>
  <c r="T40" i="6" s="1"/>
  <c r="E23" i="6" s="1"/>
  <c r="E24" i="6" s="1"/>
  <c r="E30" i="6" s="1"/>
  <c r="T38" i="21"/>
  <c r="T40" i="21" s="1"/>
  <c r="E23" i="21" s="1"/>
  <c r="E24" i="21" s="1"/>
  <c r="F37" i="5" s="1"/>
  <c r="J34" i="10"/>
  <c r="J37" i="10" s="1"/>
  <c r="J38" i="10" s="1"/>
  <c r="T38" i="10"/>
  <c r="T40" i="10" s="1"/>
  <c r="E23" i="10" s="1"/>
  <c r="E24" i="10" s="1"/>
  <c r="E30" i="10" s="1"/>
  <c r="J22" i="18"/>
  <c r="K41" i="16"/>
  <c r="K42" i="16" s="1"/>
  <c r="T38" i="11"/>
  <c r="T40" i="11" s="1"/>
  <c r="E23" i="11" s="1"/>
  <c r="E24" i="11" s="1"/>
  <c r="D18" i="3" s="1"/>
  <c r="K34" i="10"/>
  <c r="K37" i="10" s="1"/>
  <c r="K38" i="10" s="1"/>
  <c r="K41" i="14"/>
  <c r="T38" i="18"/>
  <c r="T40" i="18" s="1"/>
  <c r="E23" i="18" s="1"/>
  <c r="E24" i="18" s="1"/>
  <c r="E30" i="18" s="1"/>
  <c r="J34" i="16"/>
  <c r="J37" i="16" s="1"/>
  <c r="J17" i="16"/>
  <c r="K41" i="19"/>
  <c r="D65" i="19" s="1"/>
  <c r="L21" i="13"/>
  <c r="L44" i="13" s="1"/>
  <c r="L49" i="13" s="1"/>
  <c r="I41" i="8"/>
  <c r="I42" i="8" s="1"/>
  <c r="J22" i="8"/>
  <c r="L41" i="15"/>
  <c r="L42" i="15" s="1"/>
  <c r="M41" i="19"/>
  <c r="M42" i="19" s="1"/>
  <c r="J22" i="14"/>
  <c r="J21" i="14"/>
  <c r="J49" i="18"/>
  <c r="J22" i="11"/>
  <c r="J44" i="11"/>
  <c r="J49" i="11" s="1"/>
  <c r="J50" i="11" s="1"/>
  <c r="N15" i="11"/>
  <c r="N29" i="11"/>
  <c r="N31" i="11" s="1"/>
  <c r="L17" i="16"/>
  <c r="L34" i="16"/>
  <c r="L37" i="16" s="1"/>
  <c r="I34" i="7"/>
  <c r="I37" i="7" s="1"/>
  <c r="I17" i="7"/>
  <c r="T38" i="19"/>
  <c r="T40" i="19" s="1"/>
  <c r="E23" i="19" s="1"/>
  <c r="E24" i="19" s="1"/>
  <c r="E30" i="19" s="1"/>
  <c r="I17" i="15"/>
  <c r="I34" i="15"/>
  <c r="I37" i="15" s="1"/>
  <c r="J41" i="11"/>
  <c r="J42" i="11" s="1"/>
  <c r="T38" i="12"/>
  <c r="T40" i="12" s="1"/>
  <c r="E23" i="12" s="1"/>
  <c r="E24" i="12" s="1"/>
  <c r="T38" i="16"/>
  <c r="T40" i="16" s="1"/>
  <c r="E23" i="16" s="1"/>
  <c r="E24" i="16" s="1"/>
  <c r="D15" i="2" s="1"/>
  <c r="T38" i="13"/>
  <c r="T40" i="13" s="1"/>
  <c r="E23" i="13" s="1"/>
  <c r="E24" i="13" s="1"/>
  <c r="E30" i="13" s="1"/>
  <c r="M34" i="9"/>
  <c r="M37" i="9" s="1"/>
  <c r="M17" i="9"/>
  <c r="I34" i="14"/>
  <c r="I37" i="14" s="1"/>
  <c r="I17" i="14"/>
  <c r="J17" i="19"/>
  <c r="J34" i="19"/>
  <c r="J37" i="19" s="1"/>
  <c r="N32" i="16"/>
  <c r="M28" i="3" s="1"/>
  <c r="H28" i="3"/>
  <c r="M34" i="14"/>
  <c r="M37" i="14" s="1"/>
  <c r="M17" i="14"/>
  <c r="K17" i="15"/>
  <c r="K34" i="15"/>
  <c r="K37" i="15" s="1"/>
  <c r="K41" i="9"/>
  <c r="M17" i="13"/>
  <c r="M34" i="13"/>
  <c r="M37" i="13" s="1"/>
  <c r="L17" i="7"/>
  <c r="L34" i="7"/>
  <c r="L37" i="7" s="1"/>
  <c r="K22" i="16"/>
  <c r="K21" i="16"/>
  <c r="M17" i="10"/>
  <c r="M34" i="10"/>
  <c r="M37" i="10" s="1"/>
  <c r="J34" i="17"/>
  <c r="J37" i="17" s="1"/>
  <c r="J17" i="17"/>
  <c r="I17" i="12"/>
  <c r="I34" i="12"/>
  <c r="I37" i="12" s="1"/>
  <c r="J17" i="6"/>
  <c r="J34" i="6"/>
  <c r="J37" i="6" s="1"/>
  <c r="M17" i="7"/>
  <c r="M34" i="7"/>
  <c r="M37" i="7" s="1"/>
  <c r="L34" i="8"/>
  <c r="L37" i="8" s="1"/>
  <c r="L17" i="8"/>
  <c r="K25" i="8"/>
  <c r="K44" i="8"/>
  <c r="K49" i="8" s="1"/>
  <c r="N29" i="8"/>
  <c r="N31" i="8" s="1"/>
  <c r="N15" i="8"/>
  <c r="M34" i="18"/>
  <c r="M37" i="18" s="1"/>
  <c r="M17" i="18"/>
  <c r="N29" i="12"/>
  <c r="N31" i="12" s="1"/>
  <c r="N15" i="12"/>
  <c r="I17" i="6"/>
  <c r="I34" i="6"/>
  <c r="I37" i="6" s="1"/>
  <c r="J17" i="15"/>
  <c r="J34" i="15"/>
  <c r="J37" i="15" s="1"/>
  <c r="J17" i="13"/>
  <c r="J34" i="13"/>
  <c r="J37" i="13" s="1"/>
  <c r="L22" i="19"/>
  <c r="L21" i="19"/>
  <c r="L44" i="6"/>
  <c r="L49" i="6" s="1"/>
  <c r="L25" i="6"/>
  <c r="J21" i="21"/>
  <c r="J22" i="21"/>
  <c r="M17" i="11"/>
  <c r="M34" i="11"/>
  <c r="M37" i="11" s="1"/>
  <c r="I28" i="3"/>
  <c r="J44" i="8"/>
  <c r="J49" i="8" s="1"/>
  <c r="J25" i="8"/>
  <c r="I21" i="9"/>
  <c r="I22" i="9"/>
  <c r="K22" i="9"/>
  <c r="K21" i="9"/>
  <c r="N29" i="14"/>
  <c r="N31" i="14" s="1"/>
  <c r="N15" i="14"/>
  <c r="J17" i="12"/>
  <c r="J34" i="12"/>
  <c r="J37" i="12" s="1"/>
  <c r="L38" i="20"/>
  <c r="L41" i="20"/>
  <c r="L42" i="20" s="1"/>
  <c r="I17" i="10"/>
  <c r="I34" i="10"/>
  <c r="I37" i="10" s="1"/>
  <c r="L17" i="14"/>
  <c r="L34" i="14"/>
  <c r="L37" i="14" s="1"/>
  <c r="F14" i="5"/>
  <c r="K44" i="10"/>
  <c r="K49" i="10" s="1"/>
  <c r="K25" i="10"/>
  <c r="T38" i="15"/>
  <c r="T40" i="15" s="1"/>
  <c r="E23" i="15" s="1"/>
  <c r="E24" i="15" s="1"/>
  <c r="N29" i="9"/>
  <c r="N31" i="9" s="1"/>
  <c r="N15" i="9"/>
  <c r="J21" i="10"/>
  <c r="J22" i="10"/>
  <c r="K17" i="12"/>
  <c r="K34" i="12"/>
  <c r="K37" i="12" s="1"/>
  <c r="L22" i="20"/>
  <c r="L21" i="20"/>
  <c r="L38" i="19"/>
  <c r="L41" i="19"/>
  <c r="L42" i="19" s="1"/>
  <c r="L34" i="9"/>
  <c r="L37" i="9" s="1"/>
  <c r="L17" i="9"/>
  <c r="N15" i="19"/>
  <c r="N29" i="19"/>
  <c r="N31" i="19" s="1"/>
  <c r="I17" i="19"/>
  <c r="I34" i="19"/>
  <c r="I37" i="19" s="1"/>
  <c r="I22" i="18"/>
  <c r="I21" i="18"/>
  <c r="N29" i="21"/>
  <c r="N31" i="21" s="1"/>
  <c r="N15" i="21"/>
  <c r="N29" i="18"/>
  <c r="N31" i="18" s="1"/>
  <c r="N15" i="18"/>
  <c r="I38" i="18"/>
  <c r="I41" i="18"/>
  <c r="I42" i="18" s="1"/>
  <c r="I34" i="20"/>
  <c r="I37" i="20" s="1"/>
  <c r="I17" i="20"/>
  <c r="N17" i="20"/>
  <c r="N34" i="20"/>
  <c r="N37" i="20" s="1"/>
  <c r="N17" i="10"/>
  <c r="N34" i="10"/>
  <c r="N37" i="10" s="1"/>
  <c r="N29" i="6"/>
  <c r="N31" i="6" s="1"/>
  <c r="N15" i="6"/>
  <c r="N29" i="15"/>
  <c r="N31" i="15" s="1"/>
  <c r="N15" i="15"/>
  <c r="J22" i="7"/>
  <c r="J21" i="7"/>
  <c r="M34" i="21"/>
  <c r="M37" i="21" s="1"/>
  <c r="M17" i="21"/>
  <c r="L17" i="21"/>
  <c r="L34" i="21"/>
  <c r="L37" i="21" s="1"/>
  <c r="K21" i="21"/>
  <c r="K22" i="21"/>
  <c r="L34" i="18"/>
  <c r="L37" i="18" s="1"/>
  <c r="L17" i="18"/>
  <c r="M17" i="20"/>
  <c r="M34" i="20"/>
  <c r="M37" i="20" s="1"/>
  <c r="K41" i="21"/>
  <c r="K44" i="14"/>
  <c r="K49" i="14" s="1"/>
  <c r="K25" i="14"/>
  <c r="L34" i="12"/>
  <c r="L37" i="12" s="1"/>
  <c r="L17" i="12"/>
  <c r="M38" i="15"/>
  <c r="M41" i="15"/>
  <c r="M42" i="15" s="1"/>
  <c r="N32" i="10"/>
  <c r="M17" i="3" s="1"/>
  <c r="H17" i="3"/>
  <c r="L17" i="11"/>
  <c r="L34" i="11"/>
  <c r="L37" i="11" s="1"/>
  <c r="I17" i="13"/>
  <c r="I34" i="13"/>
  <c r="I37" i="13" s="1"/>
  <c r="N32" i="13"/>
  <c r="M25" i="3" s="1"/>
  <c r="H25" i="3"/>
  <c r="K17" i="6"/>
  <c r="K34" i="6"/>
  <c r="K37" i="6" s="1"/>
  <c r="J22" i="9"/>
  <c r="J21" i="9"/>
  <c r="N34" i="16"/>
  <c r="N37" i="16" s="1"/>
  <c r="N17" i="16"/>
  <c r="D65" i="17"/>
  <c r="D64" i="17"/>
  <c r="U34" i="3" s="1"/>
  <c r="K22" i="19"/>
  <c r="K21" i="19"/>
  <c r="K21" i="13"/>
  <c r="K22" i="13"/>
  <c r="M21" i="15"/>
  <c r="M22" i="15"/>
  <c r="L44" i="15"/>
  <c r="L49" i="15" s="1"/>
  <c r="L25" i="15"/>
  <c r="N17" i="7"/>
  <c r="N34" i="7"/>
  <c r="N37" i="7" s="1"/>
  <c r="E30" i="17"/>
  <c r="D16" i="2"/>
  <c r="F33" i="5"/>
  <c r="D34" i="3"/>
  <c r="I34" i="17"/>
  <c r="I37" i="17" s="1"/>
  <c r="I17" i="17"/>
  <c r="K44" i="18"/>
  <c r="K49" i="18" s="1"/>
  <c r="K25" i="18"/>
  <c r="N17" i="17"/>
  <c r="N34" i="17"/>
  <c r="N37" i="17" s="1"/>
  <c r="J34" i="20"/>
  <c r="J37" i="20" s="1"/>
  <c r="J17" i="20"/>
  <c r="L44" i="17"/>
  <c r="L49" i="17" s="1"/>
  <c r="L25" i="17"/>
  <c r="M34" i="12"/>
  <c r="M37" i="12" s="1"/>
  <c r="M17" i="12"/>
  <c r="L22" i="10"/>
  <c r="L21" i="10"/>
  <c r="K17" i="7"/>
  <c r="K34" i="7"/>
  <c r="K37" i="7" s="1"/>
  <c r="I34" i="11"/>
  <c r="I37" i="11" s="1"/>
  <c r="I17" i="11"/>
  <c r="M17" i="17"/>
  <c r="M34" i="17"/>
  <c r="M37" i="17" s="1"/>
  <c r="I34" i="21"/>
  <c r="I37" i="21" s="1"/>
  <c r="I17" i="21"/>
  <c r="N32" i="17"/>
  <c r="M34" i="3" s="1"/>
  <c r="H34" i="3"/>
  <c r="I27" i="3"/>
  <c r="K41" i="8"/>
  <c r="I44" i="8"/>
  <c r="I49" i="8" s="1"/>
  <c r="I25" i="8"/>
  <c r="M44" i="6"/>
  <c r="M49" i="6" s="1"/>
  <c r="M25" i="6"/>
  <c r="D64" i="11" l="1"/>
  <c r="U18" i="3" s="1"/>
  <c r="D8" i="2"/>
  <c r="N17" i="13"/>
  <c r="M41" i="6"/>
  <c r="M42" i="6" s="1"/>
  <c r="D65" i="11"/>
  <c r="D19" i="2"/>
  <c r="D37" i="3"/>
  <c r="E30" i="20"/>
  <c r="E35" i="20" s="1"/>
  <c r="K36" i="5" s="1"/>
  <c r="L41" i="17"/>
  <c r="L42" i="17" s="1"/>
  <c r="J41" i="21"/>
  <c r="J42" i="21" s="1"/>
  <c r="D7" i="2"/>
  <c r="E30" i="8"/>
  <c r="D39" i="8" s="1"/>
  <c r="R14" i="5" s="1"/>
  <c r="M25" i="8"/>
  <c r="K44" i="17"/>
  <c r="K49" i="17" s="1"/>
  <c r="K21" i="20"/>
  <c r="K44" i="20" s="1"/>
  <c r="K49" i="20" s="1"/>
  <c r="N32" i="20"/>
  <c r="M37" i="3" s="1"/>
  <c r="H14" i="3"/>
  <c r="K42" i="20"/>
  <c r="D64" i="20"/>
  <c r="U37" i="3" s="1"/>
  <c r="J41" i="10"/>
  <c r="J42" i="10" s="1"/>
  <c r="D16" i="3"/>
  <c r="D64" i="19"/>
  <c r="U36" i="3" s="1"/>
  <c r="I25" i="16"/>
  <c r="K42" i="19"/>
  <c r="F27" i="5"/>
  <c r="E30" i="16"/>
  <c r="M22" i="16"/>
  <c r="K42" i="13"/>
  <c r="K25" i="11"/>
  <c r="D65" i="13"/>
  <c r="D36" i="3"/>
  <c r="F35" i="5"/>
  <c r="D18" i="2"/>
  <c r="F15" i="5"/>
  <c r="D64" i="16"/>
  <c r="U28" i="3" s="1"/>
  <c r="D62" i="16"/>
  <c r="D65" i="16"/>
  <c r="K41" i="18"/>
  <c r="D65" i="18" s="1"/>
  <c r="L41" i="6"/>
  <c r="L42" i="6" s="1"/>
  <c r="F10" i="5"/>
  <c r="F24" i="5"/>
  <c r="D12" i="2"/>
  <c r="D25" i="3"/>
  <c r="M21" i="19"/>
  <c r="M44" i="19" s="1"/>
  <c r="M49" i="19" s="1"/>
  <c r="D5" i="2"/>
  <c r="D11" i="3"/>
  <c r="D28" i="3"/>
  <c r="D9" i="2"/>
  <c r="K41" i="10"/>
  <c r="D38" i="3"/>
  <c r="E30" i="21"/>
  <c r="D37" i="21" s="1"/>
  <c r="N37" i="5" s="1"/>
  <c r="J52" i="11"/>
  <c r="L25" i="13"/>
  <c r="F17" i="5"/>
  <c r="D61" i="11"/>
  <c r="T18" i="3" s="1"/>
  <c r="D10" i="2"/>
  <c r="E30" i="11"/>
  <c r="E37" i="11" s="1"/>
  <c r="O17" i="5" s="1"/>
  <c r="D65" i="14"/>
  <c r="D64" i="14"/>
  <c r="U26" i="3" s="1"/>
  <c r="K42" i="14"/>
  <c r="D17" i="2"/>
  <c r="D35" i="3"/>
  <c r="F34" i="5"/>
  <c r="D17" i="3"/>
  <c r="D61" i="14"/>
  <c r="T26" i="3" s="1"/>
  <c r="F16" i="5"/>
  <c r="D20" i="2"/>
  <c r="J50" i="18"/>
  <c r="J52" i="18"/>
  <c r="J44" i="14"/>
  <c r="J49" i="14" s="1"/>
  <c r="J25" i="14"/>
  <c r="F13" i="5"/>
  <c r="D6" i="2"/>
  <c r="J22" i="16"/>
  <c r="J21" i="16"/>
  <c r="J38" i="16"/>
  <c r="J41" i="16"/>
  <c r="E30" i="12"/>
  <c r="G23" i="5" s="1"/>
  <c r="D24" i="3"/>
  <c r="F23" i="5"/>
  <c r="D11" i="2"/>
  <c r="M38" i="9"/>
  <c r="M41" i="9"/>
  <c r="M42" i="9" s="1"/>
  <c r="L38" i="16"/>
  <c r="L41" i="16"/>
  <c r="L42" i="16" s="1"/>
  <c r="L22" i="16"/>
  <c r="L21" i="16"/>
  <c r="N32" i="11"/>
  <c r="M18" i="3" s="1"/>
  <c r="H18" i="3"/>
  <c r="N17" i="11"/>
  <c r="N34" i="11"/>
  <c r="N37" i="11" s="1"/>
  <c r="E30" i="14"/>
  <c r="F25" i="5"/>
  <c r="D13" i="2"/>
  <c r="D26" i="3"/>
  <c r="I38" i="15"/>
  <c r="I41" i="15"/>
  <c r="I42" i="15" s="1"/>
  <c r="D14" i="3"/>
  <c r="I22" i="15"/>
  <c r="I21" i="15"/>
  <c r="I22" i="14"/>
  <c r="I21" i="14"/>
  <c r="I22" i="7"/>
  <c r="I21" i="7"/>
  <c r="I38" i="14"/>
  <c r="I41" i="14"/>
  <c r="I38" i="7"/>
  <c r="I41" i="7"/>
  <c r="I42" i="7" s="1"/>
  <c r="M21" i="9"/>
  <c r="M22" i="9"/>
  <c r="E20" i="2"/>
  <c r="N21" i="17"/>
  <c r="N44" i="17" s="1"/>
  <c r="N49" i="17" s="1"/>
  <c r="N22" i="17"/>
  <c r="C40" i="16"/>
  <c r="E45" i="16"/>
  <c r="G28" i="4" s="1"/>
  <c r="E56" i="16"/>
  <c r="R28" i="4" s="1"/>
  <c r="N38" i="16"/>
  <c r="O28" i="3" s="1"/>
  <c r="J28" i="3"/>
  <c r="N21" i="13"/>
  <c r="N44" i="13" s="1"/>
  <c r="N49" i="13" s="1"/>
  <c r="N22" i="13"/>
  <c r="I41" i="20"/>
  <c r="I38" i="20"/>
  <c r="I44" i="18"/>
  <c r="I49" i="18" s="1"/>
  <c r="I25" i="18"/>
  <c r="N41" i="16"/>
  <c r="M38" i="18"/>
  <c r="M41" i="18"/>
  <c r="M42" i="18" s="1"/>
  <c r="L22" i="7"/>
  <c r="L21" i="7"/>
  <c r="D62" i="9"/>
  <c r="D61" i="9"/>
  <c r="T16" i="3" s="1"/>
  <c r="D65" i="9"/>
  <c r="D64" i="9"/>
  <c r="U16" i="3" s="1"/>
  <c r="K42" i="9"/>
  <c r="M25" i="16"/>
  <c r="M44" i="16"/>
  <c r="M49" i="16" s="1"/>
  <c r="L50" i="15"/>
  <c r="L52" i="15"/>
  <c r="J44" i="9"/>
  <c r="J49" i="9" s="1"/>
  <c r="J25" i="9"/>
  <c r="I21" i="13"/>
  <c r="I22" i="13"/>
  <c r="L38" i="12"/>
  <c r="L41" i="12"/>
  <c r="L42" i="12" s="1"/>
  <c r="L38" i="21"/>
  <c r="L41" i="21"/>
  <c r="L42" i="21" s="1"/>
  <c r="N32" i="6"/>
  <c r="M11" i="3" s="1"/>
  <c r="H11" i="3"/>
  <c r="I38" i="19"/>
  <c r="I41" i="19"/>
  <c r="K22" i="12"/>
  <c r="K21" i="12"/>
  <c r="N32" i="14"/>
  <c r="M26" i="3" s="1"/>
  <c r="H26" i="3"/>
  <c r="J21" i="13"/>
  <c r="J22" i="13"/>
  <c r="L22" i="8"/>
  <c r="L21" i="8"/>
  <c r="M38" i="10"/>
  <c r="M41" i="10"/>
  <c r="M42" i="10" s="1"/>
  <c r="M21" i="13"/>
  <c r="M22" i="13"/>
  <c r="M38" i="14"/>
  <c r="M41" i="14"/>
  <c r="M42" i="14" s="1"/>
  <c r="J38" i="19"/>
  <c r="J41" i="19"/>
  <c r="M38" i="17"/>
  <c r="M41" i="17"/>
  <c r="M42" i="17" s="1"/>
  <c r="L44" i="10"/>
  <c r="L49" i="10" s="1"/>
  <c r="L25" i="10"/>
  <c r="I22" i="17"/>
  <c r="I21" i="17"/>
  <c r="L38" i="11"/>
  <c r="L41" i="11"/>
  <c r="L42" i="11" s="1"/>
  <c r="L21" i="21"/>
  <c r="L22" i="21"/>
  <c r="C40" i="10"/>
  <c r="N38" i="10"/>
  <c r="O17" i="3" s="1"/>
  <c r="E45" i="10"/>
  <c r="G17" i="4" s="1"/>
  <c r="E56" i="10"/>
  <c r="R17" i="4" s="1"/>
  <c r="J17" i="3"/>
  <c r="N41" i="10"/>
  <c r="I22" i="19"/>
  <c r="I21" i="19"/>
  <c r="K44" i="9"/>
  <c r="K49" i="9" s="1"/>
  <c r="K25" i="9"/>
  <c r="M38" i="11"/>
  <c r="M41" i="11"/>
  <c r="M42" i="11" s="1"/>
  <c r="J38" i="15"/>
  <c r="J41" i="15"/>
  <c r="J42" i="15" s="1"/>
  <c r="L38" i="8"/>
  <c r="L41" i="8"/>
  <c r="L42" i="8" s="1"/>
  <c r="M21" i="10"/>
  <c r="M22" i="10"/>
  <c r="J21" i="19"/>
  <c r="J22" i="19"/>
  <c r="E37" i="10"/>
  <c r="O16" i="5" s="1"/>
  <c r="E35" i="10"/>
  <c r="K16" i="5" s="1"/>
  <c r="D37" i="10"/>
  <c r="N16" i="5" s="1"/>
  <c r="D35" i="10"/>
  <c r="J16" i="5" s="1"/>
  <c r="D39" i="10"/>
  <c r="R16" i="5" s="1"/>
  <c r="C39" i="10"/>
  <c r="Q16" i="5" s="1"/>
  <c r="C35" i="10"/>
  <c r="I16" i="5" s="1"/>
  <c r="E39" i="10"/>
  <c r="S16" i="5" s="1"/>
  <c r="G16" i="5"/>
  <c r="E17" i="3"/>
  <c r="E9" i="2"/>
  <c r="K50" i="10"/>
  <c r="K52" i="10"/>
  <c r="K38" i="6"/>
  <c r="K41" i="6"/>
  <c r="L22" i="11"/>
  <c r="L21" i="11"/>
  <c r="K50" i="14"/>
  <c r="K52" i="14"/>
  <c r="M22" i="21"/>
  <c r="M21" i="21"/>
  <c r="N21" i="10"/>
  <c r="N44" i="10" s="1"/>
  <c r="N49" i="10" s="1"/>
  <c r="N22" i="10"/>
  <c r="D39" i="13"/>
  <c r="R24" i="5" s="1"/>
  <c r="E37" i="13"/>
  <c r="O24" i="5" s="1"/>
  <c r="E35" i="13"/>
  <c r="K24" i="5" s="1"/>
  <c r="D37" i="13"/>
  <c r="N24" i="5" s="1"/>
  <c r="D35" i="13"/>
  <c r="J24" i="5" s="1"/>
  <c r="E39" i="13"/>
  <c r="S24" i="5" s="1"/>
  <c r="C39" i="13"/>
  <c r="Q24" i="5" s="1"/>
  <c r="C35" i="13"/>
  <c r="I24" i="5" s="1"/>
  <c r="E12" i="2"/>
  <c r="E25" i="3"/>
  <c r="G24" i="5"/>
  <c r="N32" i="19"/>
  <c r="M36" i="3" s="1"/>
  <c r="H36" i="3"/>
  <c r="J44" i="10"/>
  <c r="J49" i="10" s="1"/>
  <c r="J25" i="10"/>
  <c r="L38" i="14"/>
  <c r="L41" i="14"/>
  <c r="L42" i="14" s="1"/>
  <c r="M21" i="11"/>
  <c r="M22" i="11"/>
  <c r="J22" i="15"/>
  <c r="J21" i="15"/>
  <c r="M38" i="7"/>
  <c r="M41" i="7"/>
  <c r="M42" i="7" s="1"/>
  <c r="I52" i="16"/>
  <c r="I50" i="16"/>
  <c r="M50" i="6"/>
  <c r="M52" i="6"/>
  <c r="M22" i="14"/>
  <c r="M21" i="14"/>
  <c r="D62" i="8"/>
  <c r="D61" i="8"/>
  <c r="T15" i="3" s="1"/>
  <c r="K42" i="8"/>
  <c r="D65" i="8"/>
  <c r="D64" i="8"/>
  <c r="U15" i="3" s="1"/>
  <c r="D65" i="21"/>
  <c r="D64" i="21"/>
  <c r="U38" i="3" s="1"/>
  <c r="D61" i="21"/>
  <c r="T38" i="3" s="1"/>
  <c r="K42" i="21"/>
  <c r="M38" i="21"/>
  <c r="M41" i="21"/>
  <c r="M42" i="21" s="1"/>
  <c r="N17" i="19"/>
  <c r="N34" i="19"/>
  <c r="N37" i="19" s="1"/>
  <c r="N17" i="9"/>
  <c r="N34" i="9"/>
  <c r="N37" i="9" s="1"/>
  <c r="C39" i="9" s="1"/>
  <c r="Q15" i="5" s="1"/>
  <c r="L21" i="14"/>
  <c r="L22" i="14"/>
  <c r="M22" i="7"/>
  <c r="M21" i="7"/>
  <c r="K38" i="15"/>
  <c r="K41" i="15"/>
  <c r="M38" i="20"/>
  <c r="M41" i="20"/>
  <c r="M42" i="20" s="1"/>
  <c r="J25" i="7"/>
  <c r="J44" i="7"/>
  <c r="J49" i="7" s="1"/>
  <c r="L22" i="9"/>
  <c r="L21" i="9"/>
  <c r="N32" i="9"/>
  <c r="M16" i="3" s="1"/>
  <c r="H16" i="3"/>
  <c r="I38" i="10"/>
  <c r="I41" i="10"/>
  <c r="I42" i="10" s="1"/>
  <c r="I44" i="9"/>
  <c r="I49" i="9" s="1"/>
  <c r="I25" i="9"/>
  <c r="J44" i="21"/>
  <c r="J49" i="21" s="1"/>
  <c r="J25" i="21"/>
  <c r="N34" i="8"/>
  <c r="N37" i="8" s="1"/>
  <c r="N17" i="8"/>
  <c r="J38" i="6"/>
  <c r="J41" i="6"/>
  <c r="J42" i="6" s="1"/>
  <c r="C39" i="20"/>
  <c r="Q36" i="5" s="1"/>
  <c r="E37" i="20"/>
  <c r="O36" i="5" s="1"/>
  <c r="E19" i="2"/>
  <c r="K21" i="15"/>
  <c r="K22" i="15"/>
  <c r="K38" i="12"/>
  <c r="K41" i="12"/>
  <c r="J38" i="13"/>
  <c r="J41" i="13"/>
  <c r="I50" i="8"/>
  <c r="I52" i="8"/>
  <c r="M25" i="15"/>
  <c r="M44" i="15"/>
  <c r="M49" i="15" s="1"/>
  <c r="K44" i="19"/>
  <c r="K49" i="19" s="1"/>
  <c r="K25" i="19"/>
  <c r="M22" i="20"/>
  <c r="M21" i="20"/>
  <c r="N34" i="18"/>
  <c r="N37" i="18" s="1"/>
  <c r="C39" i="18" s="1"/>
  <c r="Q34" i="5" s="1"/>
  <c r="N17" i="18"/>
  <c r="L38" i="9"/>
  <c r="L41" i="9"/>
  <c r="L42" i="9" s="1"/>
  <c r="E30" i="15"/>
  <c r="D27" i="3"/>
  <c r="D14" i="2"/>
  <c r="F26" i="5"/>
  <c r="I21" i="10"/>
  <c r="I22" i="10"/>
  <c r="I38" i="6"/>
  <c r="I41" i="6"/>
  <c r="I42" i="6" s="1"/>
  <c r="N32" i="8"/>
  <c r="M15" i="3" s="1"/>
  <c r="H15" i="3"/>
  <c r="J21" i="6"/>
  <c r="J22" i="6"/>
  <c r="E35" i="11"/>
  <c r="K17" i="5" s="1"/>
  <c r="I38" i="13"/>
  <c r="I41" i="13"/>
  <c r="N17" i="6"/>
  <c r="N34" i="6"/>
  <c r="N37" i="6" s="1"/>
  <c r="C39" i="6" s="1"/>
  <c r="Q10" i="5" s="1"/>
  <c r="N34" i="14"/>
  <c r="N37" i="14" s="1"/>
  <c r="N17" i="14"/>
  <c r="I38" i="21"/>
  <c r="I41" i="21"/>
  <c r="I42" i="21" s="1"/>
  <c r="M22" i="12"/>
  <c r="M21" i="12"/>
  <c r="K52" i="11"/>
  <c r="K50" i="11"/>
  <c r="L52" i="17"/>
  <c r="L50" i="17"/>
  <c r="D39" i="17"/>
  <c r="R33" i="5" s="1"/>
  <c r="C39" i="17"/>
  <c r="Q33" i="5" s="1"/>
  <c r="E37" i="17"/>
  <c r="O33" i="5" s="1"/>
  <c r="E35" i="17"/>
  <c r="K33" i="5" s="1"/>
  <c r="D37" i="17"/>
  <c r="N33" i="5" s="1"/>
  <c r="D35" i="17"/>
  <c r="J33" i="5" s="1"/>
  <c r="C35" i="17"/>
  <c r="I33" i="5" s="1"/>
  <c r="E39" i="17"/>
  <c r="S33" i="5" s="1"/>
  <c r="E16" i="2"/>
  <c r="E34" i="3"/>
  <c r="G33" i="5"/>
  <c r="L22" i="18"/>
  <c r="L21" i="18"/>
  <c r="N34" i="15"/>
  <c r="N37" i="15" s="1"/>
  <c r="N17" i="15"/>
  <c r="E37" i="18"/>
  <c r="O34" i="5" s="1"/>
  <c r="D37" i="18"/>
  <c r="N34" i="5" s="1"/>
  <c r="E35" i="18"/>
  <c r="K34" i="5" s="1"/>
  <c r="E39" i="18"/>
  <c r="S34" i="5" s="1"/>
  <c r="D35" i="18"/>
  <c r="J34" i="5" s="1"/>
  <c r="C35" i="18"/>
  <c r="I34" i="5" s="1"/>
  <c r="D39" i="18"/>
  <c r="R34" i="5" s="1"/>
  <c r="G34" i="5"/>
  <c r="E35" i="3"/>
  <c r="E17" i="2"/>
  <c r="N32" i="18"/>
  <c r="M35" i="3" s="1"/>
  <c r="H35" i="3"/>
  <c r="J50" i="8"/>
  <c r="J52" i="8"/>
  <c r="L50" i="6"/>
  <c r="L52" i="6"/>
  <c r="I22" i="6"/>
  <c r="I21" i="6"/>
  <c r="K50" i="8"/>
  <c r="K52" i="8"/>
  <c r="I38" i="12"/>
  <c r="I41" i="12"/>
  <c r="I42" i="12" s="1"/>
  <c r="K50" i="18"/>
  <c r="K52" i="18"/>
  <c r="M38" i="12"/>
  <c r="M41" i="12"/>
  <c r="M42" i="12" s="1"/>
  <c r="I22" i="11"/>
  <c r="I21" i="11"/>
  <c r="J22" i="20"/>
  <c r="J21" i="20"/>
  <c r="E56" i="7"/>
  <c r="R14" i="4" s="1"/>
  <c r="E45" i="7"/>
  <c r="G14" i="4" s="1"/>
  <c r="N38" i="7"/>
  <c r="O14" i="3" s="1"/>
  <c r="N41" i="7"/>
  <c r="C37" i="7" s="1"/>
  <c r="M13" i="5" s="1"/>
  <c r="C40" i="7"/>
  <c r="J14" i="3"/>
  <c r="N32" i="15"/>
  <c r="M27" i="3" s="1"/>
  <c r="H27" i="3"/>
  <c r="E45" i="20"/>
  <c r="G37" i="4" s="1"/>
  <c r="N38" i="20"/>
  <c r="O37" i="3" s="1"/>
  <c r="C40" i="20"/>
  <c r="E56" i="20"/>
  <c r="R37" i="4" s="1"/>
  <c r="J37" i="3"/>
  <c r="N41" i="20"/>
  <c r="N34" i="21"/>
  <c r="N37" i="21" s="1"/>
  <c r="N17" i="21"/>
  <c r="N17" i="12"/>
  <c r="N34" i="12"/>
  <c r="N37" i="12" s="1"/>
  <c r="I21" i="12"/>
  <c r="I22" i="12"/>
  <c r="K25" i="16"/>
  <c r="K44" i="16"/>
  <c r="K49" i="16" s="1"/>
  <c r="K22" i="7"/>
  <c r="K21" i="7"/>
  <c r="I22" i="21"/>
  <c r="I21" i="21"/>
  <c r="L22" i="12"/>
  <c r="L21" i="12"/>
  <c r="M38" i="13"/>
  <c r="M41" i="13"/>
  <c r="M42" i="13" s="1"/>
  <c r="L52" i="13"/>
  <c r="L50" i="13"/>
  <c r="I38" i="17"/>
  <c r="I41" i="17"/>
  <c r="M50" i="8"/>
  <c r="M52" i="8"/>
  <c r="K44" i="13"/>
  <c r="K49" i="13" s="1"/>
  <c r="K25" i="13"/>
  <c r="L38" i="18"/>
  <c r="L41" i="18"/>
  <c r="L42" i="18" s="1"/>
  <c r="I38" i="11"/>
  <c r="I41" i="11"/>
  <c r="J41" i="20"/>
  <c r="J38" i="20"/>
  <c r="N21" i="7"/>
  <c r="N44" i="7" s="1"/>
  <c r="N49" i="7" s="1"/>
  <c r="N22" i="7"/>
  <c r="E37" i="19"/>
  <c r="O35" i="5" s="1"/>
  <c r="E35" i="19"/>
  <c r="K35" i="5" s="1"/>
  <c r="E39" i="19"/>
  <c r="S35" i="5" s="1"/>
  <c r="C35" i="19"/>
  <c r="I35" i="5" s="1"/>
  <c r="D39" i="19"/>
  <c r="R35" i="5" s="1"/>
  <c r="D37" i="19"/>
  <c r="N35" i="5" s="1"/>
  <c r="D35" i="19"/>
  <c r="J35" i="5" s="1"/>
  <c r="E18" i="2"/>
  <c r="G35" i="5"/>
  <c r="E36" i="3"/>
  <c r="N21" i="20"/>
  <c r="N44" i="20" s="1"/>
  <c r="N49" i="20" s="1"/>
  <c r="N22" i="20"/>
  <c r="N32" i="21"/>
  <c r="M38" i="3" s="1"/>
  <c r="H38" i="3"/>
  <c r="J38" i="12"/>
  <c r="J41" i="12"/>
  <c r="J42" i="12" s="1"/>
  <c r="N32" i="12"/>
  <c r="M24" i="3" s="1"/>
  <c r="H24" i="3"/>
  <c r="K52" i="17"/>
  <c r="K50" i="17"/>
  <c r="J21" i="17"/>
  <c r="J22" i="17"/>
  <c r="E39" i="9"/>
  <c r="S15" i="5" s="1"/>
  <c r="D39" i="9"/>
  <c r="R15" i="5" s="1"/>
  <c r="E35" i="9"/>
  <c r="K15" i="5" s="1"/>
  <c r="E37" i="9"/>
  <c r="O15" i="5" s="1"/>
  <c r="D35" i="9"/>
  <c r="J15" i="5" s="1"/>
  <c r="D37" i="9"/>
  <c r="N15" i="5" s="1"/>
  <c r="C35" i="9"/>
  <c r="I15" i="5" s="1"/>
  <c r="E8" i="2"/>
  <c r="E16" i="3"/>
  <c r="G15" i="5"/>
  <c r="M22" i="17"/>
  <c r="M21" i="17"/>
  <c r="K21" i="6"/>
  <c r="K22" i="6"/>
  <c r="K38" i="7"/>
  <c r="K41" i="7"/>
  <c r="C40" i="17"/>
  <c r="E45" i="17"/>
  <c r="G34" i="4" s="1"/>
  <c r="E56" i="17"/>
  <c r="R34" i="4" s="1"/>
  <c r="N38" i="17"/>
  <c r="O34" i="3" s="1"/>
  <c r="J34" i="3"/>
  <c r="N41" i="17"/>
  <c r="N21" i="16"/>
  <c r="N44" i="16" s="1"/>
  <c r="N49" i="16" s="1"/>
  <c r="N22" i="16"/>
  <c r="K44" i="21"/>
  <c r="K49" i="21" s="1"/>
  <c r="K25" i="21"/>
  <c r="E45" i="13"/>
  <c r="G25" i="4" s="1"/>
  <c r="E56" i="13"/>
  <c r="R25" i="4" s="1"/>
  <c r="C40" i="13"/>
  <c r="N38" i="13"/>
  <c r="O25" i="3" s="1"/>
  <c r="J25" i="3"/>
  <c r="N41" i="13"/>
  <c r="C37" i="13" s="1"/>
  <c r="M24" i="5" s="1"/>
  <c r="I22" i="20"/>
  <c r="I21" i="20"/>
  <c r="L44" i="20"/>
  <c r="L49" i="20" s="1"/>
  <c r="L25" i="20"/>
  <c r="C35" i="16"/>
  <c r="I27" i="5" s="1"/>
  <c r="E39" i="16"/>
  <c r="S27" i="5" s="1"/>
  <c r="D39" i="16"/>
  <c r="R27" i="5" s="1"/>
  <c r="C39" i="16"/>
  <c r="Q27" i="5" s="1"/>
  <c r="E35" i="16"/>
  <c r="K27" i="5" s="1"/>
  <c r="D37" i="16"/>
  <c r="N27" i="5" s="1"/>
  <c r="D35" i="16"/>
  <c r="J27" i="5" s="1"/>
  <c r="E37" i="16"/>
  <c r="O27" i="5" s="1"/>
  <c r="G27" i="5"/>
  <c r="E28" i="3"/>
  <c r="E15" i="2"/>
  <c r="J21" i="12"/>
  <c r="J22" i="12"/>
  <c r="L44" i="19"/>
  <c r="L49" i="19" s="1"/>
  <c r="L25" i="19"/>
  <c r="M22" i="18"/>
  <c r="M21" i="18"/>
  <c r="J38" i="17"/>
  <c r="J41" i="17"/>
  <c r="L38" i="7"/>
  <c r="L41" i="7"/>
  <c r="L42" i="7" s="1"/>
  <c r="E37" i="6"/>
  <c r="O10" i="5" s="1"/>
  <c r="E35" i="6"/>
  <c r="K10" i="5" s="1"/>
  <c r="D37" i="6"/>
  <c r="N10" i="5" s="1"/>
  <c r="D35" i="6"/>
  <c r="J10" i="5" s="1"/>
  <c r="C35" i="6"/>
  <c r="I10" i="5" s="1"/>
  <c r="E39" i="6"/>
  <c r="S10" i="5" s="1"/>
  <c r="D39" i="6"/>
  <c r="R10" i="5" s="1"/>
  <c r="G10" i="5"/>
  <c r="E11" i="3"/>
  <c r="E5" i="2"/>
  <c r="D39" i="7"/>
  <c r="R13" i="5" s="1"/>
  <c r="C39" i="7"/>
  <c r="Q13" i="5" s="1"/>
  <c r="E37" i="7"/>
  <c r="O13" i="5" s="1"/>
  <c r="E35" i="7"/>
  <c r="K13" i="5" s="1"/>
  <c r="D37" i="7"/>
  <c r="N13" i="5" s="1"/>
  <c r="D35" i="7"/>
  <c r="J13" i="5" s="1"/>
  <c r="C35" i="7"/>
  <c r="I13" i="5" s="1"/>
  <c r="E39" i="7"/>
  <c r="S13" i="5" s="1"/>
  <c r="E14" i="3"/>
  <c r="E6" i="2"/>
  <c r="G13" i="5"/>
  <c r="E39" i="8" l="1"/>
  <c r="S14" i="5" s="1"/>
  <c r="D39" i="20"/>
  <c r="R36" i="5" s="1"/>
  <c r="E7" i="2"/>
  <c r="E37" i="3"/>
  <c r="G14" i="5"/>
  <c r="G36" i="5"/>
  <c r="C35" i="8"/>
  <c r="I14" i="5" s="1"/>
  <c r="E39" i="20"/>
  <c r="S36" i="5" s="1"/>
  <c r="D35" i="8"/>
  <c r="J14" i="5" s="1"/>
  <c r="C37" i="20"/>
  <c r="M36" i="5" s="1"/>
  <c r="C35" i="20"/>
  <c r="I36" i="5" s="1"/>
  <c r="D37" i="8"/>
  <c r="N14" i="5" s="1"/>
  <c r="D35" i="20"/>
  <c r="J36" i="5" s="1"/>
  <c r="E35" i="8"/>
  <c r="K14" i="5" s="1"/>
  <c r="E15" i="3"/>
  <c r="D37" i="20"/>
  <c r="N36" i="5" s="1"/>
  <c r="E37" i="8"/>
  <c r="O14" i="5" s="1"/>
  <c r="K25" i="20"/>
  <c r="G17" i="5"/>
  <c r="D61" i="10"/>
  <c r="T17" i="3" s="1"/>
  <c r="E37" i="21"/>
  <c r="O37" i="5" s="1"/>
  <c r="O40" i="5" s="1"/>
  <c r="D37" i="12"/>
  <c r="N23" i="5" s="1"/>
  <c r="E39" i="21"/>
  <c r="S37" i="5" s="1"/>
  <c r="C37" i="16"/>
  <c r="M27" i="5" s="1"/>
  <c r="M25" i="19"/>
  <c r="N25" i="19" s="1"/>
  <c r="K42" i="10"/>
  <c r="D62" i="18"/>
  <c r="D64" i="18"/>
  <c r="U35" i="3" s="1"/>
  <c r="U40" i="3" s="1"/>
  <c r="D61" i="18"/>
  <c r="T35" i="3" s="1"/>
  <c r="C35" i="12"/>
  <c r="I23" i="5" s="1"/>
  <c r="D35" i="12"/>
  <c r="J23" i="5" s="1"/>
  <c r="E39" i="12"/>
  <c r="S23" i="5" s="1"/>
  <c r="E35" i="12"/>
  <c r="K23" i="5" s="1"/>
  <c r="E37" i="12"/>
  <c r="O23" i="5" s="1"/>
  <c r="D39" i="12"/>
  <c r="R23" i="5" s="1"/>
  <c r="E24" i="3"/>
  <c r="E11" i="2"/>
  <c r="C39" i="11"/>
  <c r="Q17" i="5" s="1"/>
  <c r="K42" i="18"/>
  <c r="M20" i="3"/>
  <c r="D64" i="10"/>
  <c r="U17" i="3" s="1"/>
  <c r="D65" i="10"/>
  <c r="C35" i="21"/>
  <c r="I37" i="5" s="1"/>
  <c r="D39" i="21"/>
  <c r="R37" i="5" s="1"/>
  <c r="R39" i="5" s="1"/>
  <c r="G37" i="5"/>
  <c r="D35" i="21"/>
  <c r="J37" i="5" s="1"/>
  <c r="E35" i="21"/>
  <c r="K37" i="5" s="1"/>
  <c r="K40" i="5" s="1"/>
  <c r="E38" i="3"/>
  <c r="E18" i="3"/>
  <c r="E10" i="2"/>
  <c r="D39" i="11"/>
  <c r="R17" i="5" s="1"/>
  <c r="R20" i="5" s="1"/>
  <c r="E39" i="11"/>
  <c r="S17" i="5" s="1"/>
  <c r="S20" i="5" s="1"/>
  <c r="C35" i="11"/>
  <c r="I17" i="5" s="1"/>
  <c r="I19" i="5" s="1"/>
  <c r="D35" i="11"/>
  <c r="J17" i="5" s="1"/>
  <c r="D37" i="11"/>
  <c r="N17" i="5" s="1"/>
  <c r="J25" i="16"/>
  <c r="J44" i="16"/>
  <c r="J49" i="16" s="1"/>
  <c r="D62" i="21"/>
  <c r="J50" i="14"/>
  <c r="J52" i="14"/>
  <c r="E61" i="14" s="1"/>
  <c r="V26" i="3" s="1"/>
  <c r="J42" i="16"/>
  <c r="D61" i="16"/>
  <c r="T28" i="3" s="1"/>
  <c r="M40" i="3"/>
  <c r="I44" i="15"/>
  <c r="I49" i="15" s="1"/>
  <c r="I25" i="15"/>
  <c r="L44" i="16"/>
  <c r="L49" i="16" s="1"/>
  <c r="L25" i="16"/>
  <c r="N25" i="16" s="1"/>
  <c r="M44" i="9"/>
  <c r="M49" i="9" s="1"/>
  <c r="M25" i="9"/>
  <c r="I42" i="14"/>
  <c r="D62" i="14"/>
  <c r="I25" i="7"/>
  <c r="I44" i="7"/>
  <c r="I49" i="7" s="1"/>
  <c r="E26" i="3"/>
  <c r="D37" i="14"/>
  <c r="N25" i="5" s="1"/>
  <c r="C35" i="14"/>
  <c r="I25" i="5" s="1"/>
  <c r="E35" i="14"/>
  <c r="K25" i="5" s="1"/>
  <c r="D35" i="14"/>
  <c r="J25" i="5" s="1"/>
  <c r="E39" i="14"/>
  <c r="S25" i="5" s="1"/>
  <c r="E37" i="14"/>
  <c r="O25" i="5" s="1"/>
  <c r="D39" i="14"/>
  <c r="R25" i="5" s="1"/>
  <c r="G25" i="5"/>
  <c r="E13" i="2"/>
  <c r="N41" i="11"/>
  <c r="N38" i="11"/>
  <c r="O18" i="3" s="1"/>
  <c r="J18" i="3"/>
  <c r="E56" i="11"/>
  <c r="R18" i="4" s="1"/>
  <c r="C40" i="11"/>
  <c r="E45" i="11"/>
  <c r="G18" i="4" s="1"/>
  <c r="I25" i="14"/>
  <c r="I44" i="14"/>
  <c r="I49" i="14" s="1"/>
  <c r="N21" i="11"/>
  <c r="N44" i="11" s="1"/>
  <c r="N49" i="11" s="1"/>
  <c r="N22" i="11"/>
  <c r="D61" i="7"/>
  <c r="T14" i="3" s="1"/>
  <c r="K42" i="7"/>
  <c r="D65" i="7"/>
  <c r="D64" i="7"/>
  <c r="U14" i="3" s="1"/>
  <c r="D62" i="7"/>
  <c r="L25" i="12"/>
  <c r="L44" i="12"/>
  <c r="L49" i="12" s="1"/>
  <c r="N21" i="12"/>
  <c r="N44" i="12" s="1"/>
  <c r="N49" i="12" s="1"/>
  <c r="N22" i="12"/>
  <c r="N21" i="9"/>
  <c r="N44" i="9" s="1"/>
  <c r="N49" i="9" s="1"/>
  <c r="N22" i="9"/>
  <c r="J25" i="19"/>
  <c r="J44" i="19"/>
  <c r="J49" i="19" s="1"/>
  <c r="I42" i="19"/>
  <c r="D62" i="19"/>
  <c r="E55" i="16"/>
  <c r="Q28" i="4" s="1"/>
  <c r="C38" i="16"/>
  <c r="N42" i="16"/>
  <c r="E52" i="16"/>
  <c r="E54" i="16"/>
  <c r="P28" i="4" s="1"/>
  <c r="E53" i="16"/>
  <c r="N28" i="4" s="1"/>
  <c r="N21" i="8"/>
  <c r="N44" i="8" s="1"/>
  <c r="N49" i="8" s="1"/>
  <c r="N22" i="8"/>
  <c r="J52" i="7"/>
  <c r="J50" i="7"/>
  <c r="C40" i="19"/>
  <c r="E56" i="19"/>
  <c r="R36" i="4" s="1"/>
  <c r="E45" i="19"/>
  <c r="G36" i="4" s="1"/>
  <c r="N38" i="19"/>
  <c r="O36" i="3" s="1"/>
  <c r="J36" i="3"/>
  <c r="N41" i="19"/>
  <c r="E65" i="14"/>
  <c r="E64" i="14"/>
  <c r="W26" i="3" s="1"/>
  <c r="E55" i="10"/>
  <c r="Q17" i="4" s="1"/>
  <c r="E54" i="10"/>
  <c r="P17" i="4" s="1"/>
  <c r="C38" i="10"/>
  <c r="N42" i="10"/>
  <c r="E53" i="10"/>
  <c r="N17" i="4" s="1"/>
  <c r="E52" i="10"/>
  <c r="M25" i="13"/>
  <c r="N25" i="13" s="1"/>
  <c r="M44" i="13"/>
  <c r="M49" i="13" s="1"/>
  <c r="L25" i="7"/>
  <c r="L44" i="7"/>
  <c r="L49" i="7" s="1"/>
  <c r="O20" i="5"/>
  <c r="O19" i="5"/>
  <c r="C40" i="8"/>
  <c r="E56" i="8"/>
  <c r="R15" i="4" s="1"/>
  <c r="E45" i="8"/>
  <c r="G15" i="4" s="1"/>
  <c r="N38" i="8"/>
  <c r="O15" i="3" s="1"/>
  <c r="N41" i="8"/>
  <c r="J15" i="3"/>
  <c r="N21" i="19"/>
  <c r="N44" i="19" s="1"/>
  <c r="N49" i="19" s="1"/>
  <c r="N22" i="19"/>
  <c r="M25" i="11"/>
  <c r="M44" i="11"/>
  <c r="M49" i="11" s="1"/>
  <c r="M44" i="10"/>
  <c r="M49" i="10" s="1"/>
  <c r="M25" i="10"/>
  <c r="N25" i="10" s="1"/>
  <c r="I25" i="17"/>
  <c r="I44" i="17"/>
  <c r="I49" i="17" s="1"/>
  <c r="J25" i="12"/>
  <c r="J44" i="12"/>
  <c r="J49" i="12" s="1"/>
  <c r="K44" i="6"/>
  <c r="K49" i="6" s="1"/>
  <c r="K25" i="6"/>
  <c r="N25" i="6" s="1"/>
  <c r="N39" i="5"/>
  <c r="N40" i="5"/>
  <c r="J42" i="13"/>
  <c r="D61" i="13"/>
  <c r="T25" i="3" s="1"/>
  <c r="M25" i="14"/>
  <c r="M44" i="14"/>
  <c r="M49" i="14" s="1"/>
  <c r="L25" i="11"/>
  <c r="L44" i="11"/>
  <c r="L49" i="11" s="1"/>
  <c r="C37" i="10"/>
  <c r="M16" i="5" s="1"/>
  <c r="I52" i="18"/>
  <c r="E62" i="18" s="1"/>
  <c r="I50" i="18"/>
  <c r="K52" i="21"/>
  <c r="K50" i="21"/>
  <c r="K52" i="13"/>
  <c r="K50" i="13"/>
  <c r="N22" i="21"/>
  <c r="N21" i="21"/>
  <c r="N44" i="21" s="1"/>
  <c r="N49" i="21" s="1"/>
  <c r="E52" i="7"/>
  <c r="E55" i="7"/>
  <c r="Q14" i="4" s="1"/>
  <c r="E54" i="7"/>
  <c r="P14" i="4" s="1"/>
  <c r="E53" i="7"/>
  <c r="N14" i="4" s="1"/>
  <c r="C38" i="7"/>
  <c r="N42" i="7"/>
  <c r="M25" i="17"/>
  <c r="N25" i="17" s="1"/>
  <c r="M44" i="17"/>
  <c r="M49" i="17" s="1"/>
  <c r="K25" i="7"/>
  <c r="K44" i="7"/>
  <c r="K49" i="7" s="1"/>
  <c r="C40" i="21"/>
  <c r="E56" i="21"/>
  <c r="R38" i="4" s="1"/>
  <c r="N38" i="21"/>
  <c r="O38" i="3" s="1"/>
  <c r="E45" i="21"/>
  <c r="G38" i="4" s="1"/>
  <c r="J38" i="3"/>
  <c r="N41" i="21"/>
  <c r="C39" i="21"/>
  <c r="Q37" i="5" s="1"/>
  <c r="N21" i="15"/>
  <c r="N44" i="15" s="1"/>
  <c r="N49" i="15" s="1"/>
  <c r="N22" i="15"/>
  <c r="J25" i="6"/>
  <c r="J44" i="6"/>
  <c r="J49" i="6" s="1"/>
  <c r="J50" i="21"/>
  <c r="J52" i="21"/>
  <c r="L25" i="8"/>
  <c r="N25" i="8" s="1"/>
  <c r="L44" i="8"/>
  <c r="L49" i="8" s="1"/>
  <c r="M52" i="16"/>
  <c r="M50" i="16"/>
  <c r="M52" i="19"/>
  <c r="M50" i="19"/>
  <c r="K20" i="5"/>
  <c r="K19" i="5"/>
  <c r="E64" i="11"/>
  <c r="W18" i="3" s="1"/>
  <c r="E65" i="11"/>
  <c r="E61" i="11"/>
  <c r="V18" i="3" s="1"/>
  <c r="E47" i="16"/>
  <c r="I28" i="4" s="1"/>
  <c r="N52" i="16"/>
  <c r="N50" i="16"/>
  <c r="P28" i="3" s="1"/>
  <c r="E46" i="16"/>
  <c r="H28" i="4" s="1"/>
  <c r="K28" i="3"/>
  <c r="E55" i="20"/>
  <c r="Q37" i="4" s="1"/>
  <c r="E54" i="20"/>
  <c r="P37" i="4" s="1"/>
  <c r="E52" i="20"/>
  <c r="E53" i="20"/>
  <c r="N37" i="4" s="1"/>
  <c r="C38" i="20"/>
  <c r="N42" i="20"/>
  <c r="E45" i="15"/>
  <c r="G27" i="4" s="1"/>
  <c r="N38" i="15"/>
  <c r="O27" i="3" s="1"/>
  <c r="C40" i="15"/>
  <c r="E56" i="15"/>
  <c r="R27" i="4" s="1"/>
  <c r="J27" i="3"/>
  <c r="N41" i="15"/>
  <c r="N21" i="18"/>
  <c r="N44" i="18" s="1"/>
  <c r="N49" i="18" s="1"/>
  <c r="N22" i="18"/>
  <c r="D62" i="12"/>
  <c r="D61" i="12"/>
  <c r="T24" i="3" s="1"/>
  <c r="K42" i="12"/>
  <c r="D65" i="12"/>
  <c r="D64" i="12"/>
  <c r="U24" i="3" s="1"/>
  <c r="D65" i="15"/>
  <c r="D64" i="15"/>
  <c r="U27" i="3" s="1"/>
  <c r="D62" i="15"/>
  <c r="K42" i="15"/>
  <c r="D61" i="15"/>
  <c r="T27" i="3" s="1"/>
  <c r="D65" i="6"/>
  <c r="D64" i="6"/>
  <c r="U11" i="3" s="1"/>
  <c r="D62" i="6"/>
  <c r="D61" i="6"/>
  <c r="T11" i="3" s="1"/>
  <c r="K42" i="6"/>
  <c r="L50" i="10"/>
  <c r="L52" i="10"/>
  <c r="I42" i="20"/>
  <c r="D62" i="20"/>
  <c r="I44" i="21"/>
  <c r="I49" i="21" s="1"/>
  <c r="I25" i="21"/>
  <c r="E65" i="18"/>
  <c r="E64" i="18"/>
  <c r="W35" i="3" s="1"/>
  <c r="E61" i="18"/>
  <c r="V35" i="3" s="1"/>
  <c r="M25" i="12"/>
  <c r="M44" i="12"/>
  <c r="M49" i="12" s="1"/>
  <c r="D37" i="15"/>
  <c r="N26" i="5" s="1"/>
  <c r="D35" i="15"/>
  <c r="J26" i="5" s="1"/>
  <c r="C35" i="15"/>
  <c r="I26" i="5" s="1"/>
  <c r="E39" i="15"/>
  <c r="S26" i="5" s="1"/>
  <c r="D39" i="15"/>
  <c r="R26" i="5" s="1"/>
  <c r="C39" i="15"/>
  <c r="Q26" i="5" s="1"/>
  <c r="E35" i="15"/>
  <c r="K26" i="5" s="1"/>
  <c r="E37" i="15"/>
  <c r="O26" i="5" s="1"/>
  <c r="E14" i="2"/>
  <c r="E27" i="3"/>
  <c r="G26" i="5"/>
  <c r="L52" i="20"/>
  <c r="L50" i="20"/>
  <c r="E46" i="20"/>
  <c r="H37" i="4" s="1"/>
  <c r="N52" i="20"/>
  <c r="E47" i="20"/>
  <c r="I37" i="4" s="1"/>
  <c r="N50" i="20"/>
  <c r="P37" i="3" s="1"/>
  <c r="K37" i="3"/>
  <c r="I25" i="20"/>
  <c r="I44" i="20"/>
  <c r="I49" i="20" s="1"/>
  <c r="E55" i="17"/>
  <c r="Q34" i="4" s="1"/>
  <c r="E54" i="17"/>
  <c r="P34" i="4" s="1"/>
  <c r="N42" i="17"/>
  <c r="C38" i="17"/>
  <c r="E52" i="17"/>
  <c r="E53" i="17"/>
  <c r="N34" i="4" s="1"/>
  <c r="I42" i="17"/>
  <c r="D62" i="17"/>
  <c r="K50" i="16"/>
  <c r="K52" i="16"/>
  <c r="E62" i="8"/>
  <c r="E61" i="8"/>
  <c r="V15" i="3" s="1"/>
  <c r="E65" i="8"/>
  <c r="E64" i="8"/>
  <c r="W15" i="3" s="1"/>
  <c r="L25" i="18"/>
  <c r="L44" i="18"/>
  <c r="L49" i="18" s="1"/>
  <c r="N22" i="14"/>
  <c r="N21" i="14"/>
  <c r="N44" i="14" s="1"/>
  <c r="N49" i="14" s="1"/>
  <c r="C40" i="18"/>
  <c r="E56" i="18"/>
  <c r="R35" i="4" s="1"/>
  <c r="N38" i="18"/>
  <c r="O35" i="3" s="1"/>
  <c r="E45" i="18"/>
  <c r="G35" i="4" s="1"/>
  <c r="N41" i="18"/>
  <c r="J35" i="3"/>
  <c r="I52" i="9"/>
  <c r="I50" i="9"/>
  <c r="J52" i="10"/>
  <c r="E61" i="10" s="1"/>
  <c r="V17" i="3" s="1"/>
  <c r="J50" i="10"/>
  <c r="J44" i="13"/>
  <c r="J49" i="13" s="1"/>
  <c r="J25" i="13"/>
  <c r="E46" i="13"/>
  <c r="H25" i="4" s="1"/>
  <c r="N50" i="13"/>
  <c r="P25" i="3" s="1"/>
  <c r="E47" i="13"/>
  <c r="I25" i="4" s="1"/>
  <c r="N52" i="13"/>
  <c r="K25" i="3"/>
  <c r="L50" i="19"/>
  <c r="L52" i="19"/>
  <c r="E56" i="14"/>
  <c r="R26" i="4" s="1"/>
  <c r="N41" i="14"/>
  <c r="C40" i="14"/>
  <c r="E45" i="14"/>
  <c r="G26" i="4" s="1"/>
  <c r="N38" i="14"/>
  <c r="O26" i="3" s="1"/>
  <c r="J26" i="3"/>
  <c r="C39" i="14"/>
  <c r="Q25" i="5" s="1"/>
  <c r="M25" i="7"/>
  <c r="M44" i="7"/>
  <c r="M49" i="7" s="1"/>
  <c r="E52" i="13"/>
  <c r="C38" i="13"/>
  <c r="E55" i="13"/>
  <c r="Q25" i="4" s="1"/>
  <c r="E54" i="13"/>
  <c r="P25" i="4" s="1"/>
  <c r="N42" i="13"/>
  <c r="E53" i="13"/>
  <c r="N25" i="4" s="1"/>
  <c r="I25" i="6"/>
  <c r="I44" i="6"/>
  <c r="I49" i="6" s="1"/>
  <c r="C40" i="6"/>
  <c r="E56" i="6"/>
  <c r="R11" i="4" s="1"/>
  <c r="E45" i="6"/>
  <c r="G11" i="4" s="1"/>
  <c r="N38" i="6"/>
  <c r="O11" i="3" s="1"/>
  <c r="J11" i="3"/>
  <c r="N41" i="6"/>
  <c r="C39" i="8"/>
  <c r="Q14" i="5" s="1"/>
  <c r="L25" i="21"/>
  <c r="L44" i="21"/>
  <c r="L49" i="21" s="1"/>
  <c r="J42" i="19"/>
  <c r="D61" i="19"/>
  <c r="T36" i="3" s="1"/>
  <c r="E64" i="17"/>
  <c r="W34" i="3" s="1"/>
  <c r="E65" i="17"/>
  <c r="J42" i="20"/>
  <c r="D61" i="20"/>
  <c r="T37" i="3" s="1"/>
  <c r="I44" i="12"/>
  <c r="I49" i="12" s="1"/>
  <c r="I25" i="12"/>
  <c r="I25" i="11"/>
  <c r="I44" i="11"/>
  <c r="I49" i="11" s="1"/>
  <c r="N21" i="6"/>
  <c r="N44" i="6" s="1"/>
  <c r="N49" i="6" s="1"/>
  <c r="N22" i="6"/>
  <c r="E64" i="10"/>
  <c r="W17" i="3" s="1"/>
  <c r="E65" i="10"/>
  <c r="I25" i="13"/>
  <c r="I44" i="13"/>
  <c r="I49" i="13" s="1"/>
  <c r="D62" i="10"/>
  <c r="K52" i="20"/>
  <c r="K50" i="20"/>
  <c r="E46" i="17"/>
  <c r="H34" i="4" s="1"/>
  <c r="N52" i="17"/>
  <c r="E47" i="17"/>
  <c r="I34" i="4" s="1"/>
  <c r="N50" i="17"/>
  <c r="P34" i="3" s="1"/>
  <c r="K34" i="3"/>
  <c r="M25" i="18"/>
  <c r="M44" i="18"/>
  <c r="M49" i="18" s="1"/>
  <c r="I42" i="11"/>
  <c r="D62" i="11"/>
  <c r="M21" i="3"/>
  <c r="I42" i="13"/>
  <c r="D62" i="13"/>
  <c r="I25" i="10"/>
  <c r="I44" i="10"/>
  <c r="I49" i="10" s="1"/>
  <c r="K50" i="19"/>
  <c r="K52" i="19"/>
  <c r="K25" i="15"/>
  <c r="N25" i="15" s="1"/>
  <c r="K44" i="15"/>
  <c r="K49" i="15" s="1"/>
  <c r="L25" i="14"/>
  <c r="L44" i="14"/>
  <c r="L49" i="14" s="1"/>
  <c r="E46" i="10"/>
  <c r="H17" i="4" s="1"/>
  <c r="E47" i="10"/>
  <c r="I17" i="4" s="1"/>
  <c r="N52" i="10"/>
  <c r="N50" i="10"/>
  <c r="P17" i="3" s="1"/>
  <c r="K17" i="3"/>
  <c r="K50" i="9"/>
  <c r="K52" i="9"/>
  <c r="K25" i="12"/>
  <c r="K44" i="12"/>
  <c r="K49" i="12" s="1"/>
  <c r="M41" i="3"/>
  <c r="J42" i="17"/>
  <c r="D61" i="17"/>
  <c r="T34" i="3" s="1"/>
  <c r="J25" i="17"/>
  <c r="J44" i="17"/>
  <c r="J49" i="17" s="1"/>
  <c r="E46" i="7"/>
  <c r="H14" i="4" s="1"/>
  <c r="N50" i="7"/>
  <c r="P14" i="3" s="1"/>
  <c r="N52" i="7"/>
  <c r="E47" i="7"/>
  <c r="I14" i="4" s="1"/>
  <c r="K14" i="3"/>
  <c r="J44" i="20"/>
  <c r="J49" i="20" s="1"/>
  <c r="J25" i="20"/>
  <c r="M25" i="20"/>
  <c r="N25" i="20" s="1"/>
  <c r="M44" i="20"/>
  <c r="M49" i="20" s="1"/>
  <c r="M49" i="3"/>
  <c r="M48" i="3"/>
  <c r="M31" i="3"/>
  <c r="M30" i="3"/>
  <c r="M46" i="3"/>
  <c r="M45" i="3"/>
  <c r="C39" i="19"/>
  <c r="Q35" i="5" s="1"/>
  <c r="C40" i="12"/>
  <c r="E56" i="12"/>
  <c r="R24" i="4" s="1"/>
  <c r="E45" i="12"/>
  <c r="G24" i="4" s="1"/>
  <c r="N38" i="12"/>
  <c r="O24" i="3" s="1"/>
  <c r="J24" i="3"/>
  <c r="N41" i="12"/>
  <c r="C37" i="17"/>
  <c r="M33" i="5" s="1"/>
  <c r="C39" i="12"/>
  <c r="Q23" i="5" s="1"/>
  <c r="M50" i="15"/>
  <c r="M52" i="15"/>
  <c r="L44" i="9"/>
  <c r="L49" i="9" s="1"/>
  <c r="L25" i="9"/>
  <c r="C40" i="9"/>
  <c r="E56" i="9"/>
  <c r="R16" i="4" s="1"/>
  <c r="N38" i="9"/>
  <c r="O16" i="3" s="1"/>
  <c r="E45" i="9"/>
  <c r="G16" i="4" s="1"/>
  <c r="J16" i="3"/>
  <c r="N41" i="9"/>
  <c r="J25" i="15"/>
  <c r="J44" i="15"/>
  <c r="J49" i="15" s="1"/>
  <c r="M25" i="21"/>
  <c r="M44" i="21"/>
  <c r="M49" i="21" s="1"/>
  <c r="I25" i="19"/>
  <c r="I44" i="19"/>
  <c r="I49" i="19" s="1"/>
  <c r="J52" i="9"/>
  <c r="J50" i="9"/>
  <c r="S40" i="5" l="1"/>
  <c r="I40" i="5"/>
  <c r="N25" i="9"/>
  <c r="O39" i="5"/>
  <c r="S39" i="5"/>
  <c r="J40" i="5"/>
  <c r="N20" i="5"/>
  <c r="J20" i="5"/>
  <c r="N19" i="5"/>
  <c r="I39" i="5"/>
  <c r="J19" i="5"/>
  <c r="S19" i="5"/>
  <c r="N48" i="5"/>
  <c r="J39" i="5"/>
  <c r="U41" i="3"/>
  <c r="K39" i="5"/>
  <c r="R40" i="5"/>
  <c r="S29" i="5"/>
  <c r="O47" i="5"/>
  <c r="Q19" i="5"/>
  <c r="I20" i="5"/>
  <c r="R47" i="5"/>
  <c r="R19" i="5"/>
  <c r="J48" i="5"/>
  <c r="K47" i="5"/>
  <c r="J30" i="5"/>
  <c r="I30" i="5"/>
  <c r="S45" i="5"/>
  <c r="J44" i="5"/>
  <c r="N25" i="12"/>
  <c r="S48" i="5"/>
  <c r="O21" i="3"/>
  <c r="J47" i="5"/>
  <c r="S44" i="5"/>
  <c r="S47" i="5"/>
  <c r="K30" i="5"/>
  <c r="K48" i="5"/>
  <c r="J45" i="5"/>
  <c r="J29" i="5"/>
  <c r="Q39" i="5"/>
  <c r="O41" i="3"/>
  <c r="J52" i="16"/>
  <c r="E61" i="16" s="1"/>
  <c r="V28" i="3" s="1"/>
  <c r="J50" i="16"/>
  <c r="S30" i="5"/>
  <c r="I47" i="5"/>
  <c r="I45" i="5"/>
  <c r="E52" i="11"/>
  <c r="E55" i="11"/>
  <c r="Q18" i="4" s="1"/>
  <c r="E54" i="11"/>
  <c r="P18" i="4" s="1"/>
  <c r="E53" i="11"/>
  <c r="N18" i="4" s="1"/>
  <c r="C38" i="11"/>
  <c r="N42" i="11"/>
  <c r="C37" i="11"/>
  <c r="M17" i="5" s="1"/>
  <c r="Q40" i="5"/>
  <c r="R48" i="5"/>
  <c r="E47" i="11"/>
  <c r="I18" i="4" s="1"/>
  <c r="K18" i="3"/>
  <c r="E46" i="11"/>
  <c r="H18" i="4" s="1"/>
  <c r="N50" i="11"/>
  <c r="P18" i="3" s="1"/>
  <c r="N52" i="11"/>
  <c r="N25" i="21"/>
  <c r="I52" i="14"/>
  <c r="E62" i="14" s="1"/>
  <c r="I50" i="14"/>
  <c r="M50" i="9"/>
  <c r="M52" i="9"/>
  <c r="N25" i="18"/>
  <c r="G41" i="4"/>
  <c r="G20" i="4"/>
  <c r="L50" i="16"/>
  <c r="L52" i="16"/>
  <c r="R20" i="4"/>
  <c r="R40" i="4"/>
  <c r="O40" i="3"/>
  <c r="I50" i="15"/>
  <c r="I52" i="15"/>
  <c r="I52" i="7"/>
  <c r="I50" i="7"/>
  <c r="C41" i="10"/>
  <c r="X16" i="5" s="1"/>
  <c r="C42" i="10"/>
  <c r="E62" i="16"/>
  <c r="E65" i="16"/>
  <c r="E64" i="16"/>
  <c r="W28" i="3" s="1"/>
  <c r="C38" i="18"/>
  <c r="E52" i="18"/>
  <c r="E55" i="18"/>
  <c r="Q35" i="4" s="1"/>
  <c r="E54" i="18"/>
  <c r="P35" i="4" s="1"/>
  <c r="E53" i="18"/>
  <c r="N35" i="4" s="1"/>
  <c r="N42" i="18"/>
  <c r="C37" i="18"/>
  <c r="M34" i="5" s="1"/>
  <c r="E55" i="15"/>
  <c r="Q27" i="4" s="1"/>
  <c r="E54" i="15"/>
  <c r="P27" i="4" s="1"/>
  <c r="E53" i="15"/>
  <c r="N27" i="4" s="1"/>
  <c r="C38" i="15"/>
  <c r="N42" i="15"/>
  <c r="E52" i="15"/>
  <c r="L50" i="11"/>
  <c r="L52" i="11"/>
  <c r="O45" i="5"/>
  <c r="I50" i="13"/>
  <c r="I52" i="13"/>
  <c r="E62" i="13" s="1"/>
  <c r="K44" i="5"/>
  <c r="I50" i="6"/>
  <c r="I52" i="6"/>
  <c r="M50" i="7"/>
  <c r="M52" i="7"/>
  <c r="C42" i="13"/>
  <c r="C41" i="13"/>
  <c r="X24" i="5" s="1"/>
  <c r="K50" i="7"/>
  <c r="K52" i="7"/>
  <c r="N50" i="21"/>
  <c r="P38" i="3" s="1"/>
  <c r="N52" i="21"/>
  <c r="E47" i="21"/>
  <c r="I38" i="4" s="1"/>
  <c r="E46" i="21"/>
  <c r="H38" i="4" s="1"/>
  <c r="K38" i="3"/>
  <c r="Q48" i="5"/>
  <c r="Q47" i="5"/>
  <c r="Q45" i="5"/>
  <c r="Q30" i="5"/>
  <c r="Q29" i="5"/>
  <c r="Q44" i="5"/>
  <c r="L50" i="14"/>
  <c r="L52" i="14"/>
  <c r="O48" i="5"/>
  <c r="K45" i="5"/>
  <c r="N25" i="7"/>
  <c r="M50" i="14"/>
  <c r="M52" i="14"/>
  <c r="J50" i="19"/>
  <c r="J52" i="19"/>
  <c r="E61" i="19" s="1"/>
  <c r="V36" i="3" s="1"/>
  <c r="E65" i="20"/>
  <c r="E64" i="20"/>
  <c r="W37" i="3" s="1"/>
  <c r="O30" i="5"/>
  <c r="T45" i="3"/>
  <c r="T30" i="3"/>
  <c r="T49" i="3"/>
  <c r="T48" i="3"/>
  <c r="T46" i="3"/>
  <c r="T31" i="3"/>
  <c r="I50" i="17"/>
  <c r="I52" i="17"/>
  <c r="E62" i="17" s="1"/>
  <c r="T40" i="3"/>
  <c r="T41" i="3"/>
  <c r="O44" i="5"/>
  <c r="R41" i="4"/>
  <c r="L50" i="18"/>
  <c r="L52" i="18"/>
  <c r="I52" i="21"/>
  <c r="E62" i="21" s="1"/>
  <c r="I50" i="21"/>
  <c r="N52" i="18"/>
  <c r="E47" i="18"/>
  <c r="I35" i="4" s="1"/>
  <c r="N50" i="18"/>
  <c r="P35" i="3" s="1"/>
  <c r="E46" i="18"/>
  <c r="H35" i="4" s="1"/>
  <c r="K35" i="3"/>
  <c r="C42" i="16"/>
  <c r="C41" i="16"/>
  <c r="X27" i="5" s="1"/>
  <c r="E46" i="15"/>
  <c r="H27" i="4" s="1"/>
  <c r="N50" i="15"/>
  <c r="P27" i="3" s="1"/>
  <c r="N52" i="15"/>
  <c r="E47" i="15"/>
  <c r="I27" i="4" s="1"/>
  <c r="K27" i="3"/>
  <c r="M52" i="17"/>
  <c r="M50" i="17"/>
  <c r="N25" i="14"/>
  <c r="M52" i="10"/>
  <c r="M50" i="10"/>
  <c r="E47" i="12"/>
  <c r="I24" i="4" s="1"/>
  <c r="N52" i="12"/>
  <c r="E46" i="12"/>
  <c r="H24" i="4" s="1"/>
  <c r="N50" i="12"/>
  <c r="P24" i="3" s="1"/>
  <c r="K24" i="3"/>
  <c r="N50" i="14"/>
  <c r="P26" i="3" s="1"/>
  <c r="N52" i="14"/>
  <c r="E46" i="14"/>
  <c r="H26" i="4" s="1"/>
  <c r="E47" i="14"/>
  <c r="I26" i="4" s="1"/>
  <c r="K26" i="3"/>
  <c r="G21" i="4"/>
  <c r="U16" i="5"/>
  <c r="N17" i="3"/>
  <c r="N42" i="9"/>
  <c r="C38" i="9"/>
  <c r="E52" i="9"/>
  <c r="E55" i="9"/>
  <c r="Q16" i="4" s="1"/>
  <c r="E54" i="9"/>
  <c r="P16" i="4" s="1"/>
  <c r="E53" i="9"/>
  <c r="N16" i="4" s="1"/>
  <c r="C37" i="9"/>
  <c r="M15" i="5" s="1"/>
  <c r="E46" i="6"/>
  <c r="H11" i="4" s="1"/>
  <c r="N50" i="6"/>
  <c r="P11" i="3" s="1"/>
  <c r="N52" i="6"/>
  <c r="E47" i="6"/>
  <c r="I11" i="4" s="1"/>
  <c r="K11" i="3"/>
  <c r="M34" i="4"/>
  <c r="V33" i="5"/>
  <c r="C41" i="20"/>
  <c r="X36" i="5" s="1"/>
  <c r="C42" i="20"/>
  <c r="N47" i="5"/>
  <c r="O20" i="3"/>
  <c r="E64" i="13"/>
  <c r="W25" i="3" s="1"/>
  <c r="E65" i="13"/>
  <c r="M50" i="11"/>
  <c r="M52" i="11"/>
  <c r="L50" i="12"/>
  <c r="L52" i="12"/>
  <c r="L50" i="9"/>
  <c r="L52" i="9"/>
  <c r="M50" i="21"/>
  <c r="M52" i="21"/>
  <c r="J52" i="17"/>
  <c r="E61" i="17" s="1"/>
  <c r="V34" i="3" s="1"/>
  <c r="J50" i="17"/>
  <c r="V13" i="5"/>
  <c r="M14" i="4"/>
  <c r="J52" i="15"/>
  <c r="J50" i="15"/>
  <c r="C38" i="12"/>
  <c r="N42" i="12"/>
  <c r="E52" i="12"/>
  <c r="E55" i="12"/>
  <c r="Q24" i="4" s="1"/>
  <c r="E54" i="12"/>
  <c r="P24" i="4" s="1"/>
  <c r="E53" i="12"/>
  <c r="N24" i="4" s="1"/>
  <c r="C37" i="12"/>
  <c r="M23" i="5" s="1"/>
  <c r="K50" i="15"/>
  <c r="K52" i="15"/>
  <c r="K50" i="12"/>
  <c r="K52" i="12"/>
  <c r="I52" i="11"/>
  <c r="E62" i="11" s="1"/>
  <c r="I50" i="11"/>
  <c r="I29" i="5"/>
  <c r="C37" i="15"/>
  <c r="M26" i="5" s="1"/>
  <c r="N44" i="5"/>
  <c r="N25" i="11"/>
  <c r="N52" i="8"/>
  <c r="E47" i="8"/>
  <c r="I15" i="4" s="1"/>
  <c r="E46" i="8"/>
  <c r="H15" i="4" s="1"/>
  <c r="N50" i="8"/>
  <c r="P15" i="3" s="1"/>
  <c r="K15" i="3"/>
  <c r="E46" i="9"/>
  <c r="H16" i="4" s="1"/>
  <c r="E47" i="9"/>
  <c r="I16" i="4" s="1"/>
  <c r="N50" i="9"/>
  <c r="P16" i="3" s="1"/>
  <c r="N52" i="9"/>
  <c r="K16" i="3"/>
  <c r="O29" i="5"/>
  <c r="O45" i="3"/>
  <c r="O30" i="3"/>
  <c r="O46" i="3"/>
  <c r="O31" i="3"/>
  <c r="O49" i="3"/>
  <c r="O48" i="3"/>
  <c r="J52" i="20"/>
  <c r="E61" i="20" s="1"/>
  <c r="V37" i="3" s="1"/>
  <c r="J50" i="20"/>
  <c r="E65" i="19"/>
  <c r="E64" i="19"/>
  <c r="W36" i="3" s="1"/>
  <c r="U24" i="5"/>
  <c r="N25" i="3"/>
  <c r="J52" i="13"/>
  <c r="E61" i="13" s="1"/>
  <c r="V25" i="3" s="1"/>
  <c r="J50" i="13"/>
  <c r="U33" i="5"/>
  <c r="N34" i="3"/>
  <c r="N29" i="5"/>
  <c r="N37" i="3"/>
  <c r="U36" i="5"/>
  <c r="L50" i="8"/>
  <c r="L52" i="8"/>
  <c r="E65" i="21"/>
  <c r="E64" i="21"/>
  <c r="W38" i="3" s="1"/>
  <c r="E61" i="21"/>
  <c r="V38" i="3" s="1"/>
  <c r="L50" i="7"/>
  <c r="L52" i="7"/>
  <c r="R30" i="5"/>
  <c r="R29" i="5"/>
  <c r="U21" i="3"/>
  <c r="U20" i="3"/>
  <c r="E53" i="14"/>
  <c r="N26" i="4" s="1"/>
  <c r="E52" i="14"/>
  <c r="E55" i="14"/>
  <c r="Q26" i="4" s="1"/>
  <c r="E54" i="14"/>
  <c r="P26" i="4" s="1"/>
  <c r="C38" i="14"/>
  <c r="N42" i="14"/>
  <c r="C37" i="14"/>
  <c r="M25" i="5" s="1"/>
  <c r="I48" i="5"/>
  <c r="M52" i="12"/>
  <c r="M50" i="12"/>
  <c r="N45" i="5"/>
  <c r="Q20" i="5"/>
  <c r="M50" i="13"/>
  <c r="M52" i="13"/>
  <c r="E55" i="19"/>
  <c r="Q36" i="4" s="1"/>
  <c r="C38" i="19"/>
  <c r="N42" i="19"/>
  <c r="E54" i="19"/>
  <c r="P36" i="4" s="1"/>
  <c r="E53" i="19"/>
  <c r="N36" i="4" s="1"/>
  <c r="E52" i="19"/>
  <c r="C37" i="19"/>
  <c r="M35" i="5" s="1"/>
  <c r="M28" i="4"/>
  <c r="V27" i="5"/>
  <c r="R45" i="5"/>
  <c r="M50" i="18"/>
  <c r="M52" i="18"/>
  <c r="E62" i="9"/>
  <c r="E64" i="9"/>
  <c r="W16" i="3" s="1"/>
  <c r="E61" i="9"/>
  <c r="V16" i="3" s="1"/>
  <c r="E65" i="9"/>
  <c r="E55" i="6"/>
  <c r="Q11" i="4" s="1"/>
  <c r="E54" i="6"/>
  <c r="P11" i="4" s="1"/>
  <c r="E53" i="6"/>
  <c r="N11" i="4" s="1"/>
  <c r="C38" i="6"/>
  <c r="N42" i="6"/>
  <c r="E52" i="6"/>
  <c r="I11" i="3"/>
  <c r="C37" i="6"/>
  <c r="M10" i="5" s="1"/>
  <c r="N30" i="5"/>
  <c r="E53" i="21"/>
  <c r="N38" i="4" s="1"/>
  <c r="C38" i="21"/>
  <c r="E52" i="21"/>
  <c r="E55" i="21"/>
  <c r="Q38" i="4" s="1"/>
  <c r="E54" i="21"/>
  <c r="P38" i="4" s="1"/>
  <c r="N42" i="21"/>
  <c r="C37" i="21"/>
  <c r="M37" i="5" s="1"/>
  <c r="U13" i="5"/>
  <c r="N14" i="3"/>
  <c r="E47" i="19"/>
  <c r="I36" i="4" s="1"/>
  <c r="N50" i="19"/>
  <c r="P36" i="3" s="1"/>
  <c r="E46" i="19"/>
  <c r="H36" i="4" s="1"/>
  <c r="N52" i="19"/>
  <c r="K36" i="3"/>
  <c r="R45" i="4"/>
  <c r="R46" i="4"/>
  <c r="R48" i="4"/>
  <c r="R49" i="4"/>
  <c r="R30" i="4"/>
  <c r="R31" i="4"/>
  <c r="I50" i="10"/>
  <c r="I52" i="10"/>
  <c r="E62" i="10" s="1"/>
  <c r="C41" i="17"/>
  <c r="X33" i="5" s="1"/>
  <c r="C42" i="17"/>
  <c r="I50" i="12"/>
  <c r="I52" i="12"/>
  <c r="C41" i="7"/>
  <c r="X13" i="5" s="1"/>
  <c r="C42" i="7"/>
  <c r="G40" i="4"/>
  <c r="K29" i="5"/>
  <c r="I44" i="5"/>
  <c r="R21" i="4"/>
  <c r="I50" i="20"/>
  <c r="I52" i="20"/>
  <c r="E62" i="20" s="1"/>
  <c r="U31" i="3"/>
  <c r="U45" i="3"/>
  <c r="U30" i="3"/>
  <c r="U49" i="3"/>
  <c r="U48" i="3"/>
  <c r="U46" i="3"/>
  <c r="V36" i="5"/>
  <c r="M37" i="4"/>
  <c r="K50" i="6"/>
  <c r="K52" i="6"/>
  <c r="C38" i="8"/>
  <c r="N42" i="8"/>
  <c r="E52" i="8"/>
  <c r="E55" i="8"/>
  <c r="Q15" i="4" s="1"/>
  <c r="E54" i="8"/>
  <c r="P15" i="4" s="1"/>
  <c r="E53" i="8"/>
  <c r="N15" i="4" s="1"/>
  <c r="C37" i="8"/>
  <c r="M14" i="5" s="1"/>
  <c r="U27" i="5"/>
  <c r="N28" i="3"/>
  <c r="R44" i="5"/>
  <c r="G45" i="4"/>
  <c r="G46" i="4"/>
  <c r="G48" i="4"/>
  <c r="G49" i="4"/>
  <c r="G30" i="4"/>
  <c r="G31" i="4"/>
  <c r="M52" i="20"/>
  <c r="M50" i="20"/>
  <c r="I50" i="19"/>
  <c r="I52" i="19"/>
  <c r="E62" i="19" s="1"/>
  <c r="L50" i="21"/>
  <c r="L52" i="21"/>
  <c r="M25" i="4"/>
  <c r="V24" i="5"/>
  <c r="J50" i="6"/>
  <c r="J52" i="6"/>
  <c r="J52" i="12"/>
  <c r="J50" i="12"/>
  <c r="V16" i="5"/>
  <c r="M17" i="4"/>
  <c r="T20" i="3"/>
  <c r="T21" i="3"/>
  <c r="P20" i="4" l="1"/>
  <c r="I40" i="4"/>
  <c r="H41" i="4"/>
  <c r="P20" i="3"/>
  <c r="P21" i="3"/>
  <c r="I41" i="4"/>
  <c r="N20" i="4"/>
  <c r="P41" i="4"/>
  <c r="Q20" i="4"/>
  <c r="P40" i="3"/>
  <c r="P40" i="4"/>
  <c r="H20" i="4"/>
  <c r="N40" i="4"/>
  <c r="I20" i="4"/>
  <c r="M40" i="5"/>
  <c r="U17" i="5"/>
  <c r="N18" i="3"/>
  <c r="Q40" i="4"/>
  <c r="W41" i="3"/>
  <c r="C41" i="11"/>
  <c r="X17" i="5" s="1"/>
  <c r="C42" i="11"/>
  <c r="I21" i="4"/>
  <c r="P21" i="4"/>
  <c r="N21" i="4"/>
  <c r="V17" i="5"/>
  <c r="M18" i="4"/>
  <c r="P41" i="3"/>
  <c r="C41" i="8"/>
  <c r="X14" i="5" s="1"/>
  <c r="C42" i="8"/>
  <c r="N31" i="4"/>
  <c r="N45" i="4"/>
  <c r="N46" i="4"/>
  <c r="N48" i="4"/>
  <c r="N49" i="4"/>
  <c r="N30" i="4"/>
  <c r="C41" i="14"/>
  <c r="X25" i="5" s="1"/>
  <c r="C42" i="14"/>
  <c r="M20" i="5"/>
  <c r="M19" i="5"/>
  <c r="H40" i="4"/>
  <c r="V10" i="5"/>
  <c r="M11" i="4"/>
  <c r="V25" i="5"/>
  <c r="M26" i="4"/>
  <c r="P45" i="4"/>
  <c r="P46" i="4"/>
  <c r="P48" i="4"/>
  <c r="P49" i="4"/>
  <c r="P30" i="4"/>
  <c r="P31" i="4"/>
  <c r="H21" i="4"/>
  <c r="N11" i="3"/>
  <c r="U10" i="5"/>
  <c r="Q45" i="4"/>
  <c r="Q46" i="4"/>
  <c r="Q48" i="4"/>
  <c r="Q49" i="4"/>
  <c r="Q30" i="4"/>
  <c r="Q31" i="4"/>
  <c r="C42" i="15"/>
  <c r="C41" i="15"/>
  <c r="X26" i="5" s="1"/>
  <c r="N41" i="4"/>
  <c r="V34" i="5"/>
  <c r="M35" i="4"/>
  <c r="V23" i="5"/>
  <c r="M24" i="4"/>
  <c r="M16" i="4"/>
  <c r="V15" i="5"/>
  <c r="P45" i="3"/>
  <c r="P30" i="3"/>
  <c r="P46" i="3"/>
  <c r="P31" i="3"/>
  <c r="P49" i="3"/>
  <c r="P48" i="3"/>
  <c r="M27" i="4"/>
  <c r="V26" i="5"/>
  <c r="U37" i="5"/>
  <c r="N38" i="3"/>
  <c r="C41" i="9"/>
  <c r="X15" i="5" s="1"/>
  <c r="C42" i="9"/>
  <c r="U23" i="5"/>
  <c r="N24" i="3"/>
  <c r="H45" i="4"/>
  <c r="H46" i="4"/>
  <c r="H48" i="4"/>
  <c r="H49" i="4"/>
  <c r="H30" i="4"/>
  <c r="H31" i="4"/>
  <c r="U26" i="5"/>
  <c r="N27" i="3"/>
  <c r="Q21" i="4"/>
  <c r="V35" i="5"/>
  <c r="M36" i="4"/>
  <c r="Q41" i="4"/>
  <c r="U15" i="5"/>
  <c r="N16" i="3"/>
  <c r="C41" i="12"/>
  <c r="X23" i="5" s="1"/>
  <c r="C42" i="12"/>
  <c r="I46" i="4"/>
  <c r="I48" i="4"/>
  <c r="I49" i="4"/>
  <c r="I30" i="4"/>
  <c r="I31" i="4"/>
  <c r="I45" i="4"/>
  <c r="M38" i="4"/>
  <c r="V37" i="5"/>
  <c r="E62" i="12"/>
  <c r="E61" i="12"/>
  <c r="V24" i="3" s="1"/>
  <c r="E65" i="12"/>
  <c r="E64" i="12"/>
  <c r="W24" i="3" s="1"/>
  <c r="W40" i="3"/>
  <c r="U14" i="5"/>
  <c r="N15" i="3"/>
  <c r="E64" i="6"/>
  <c r="W11" i="3" s="1"/>
  <c r="E62" i="6"/>
  <c r="E61" i="6"/>
  <c r="V11" i="3" s="1"/>
  <c r="E65" i="6"/>
  <c r="U35" i="5"/>
  <c r="N36" i="3"/>
  <c r="C42" i="6"/>
  <c r="C41" i="6"/>
  <c r="X10" i="5" s="1"/>
  <c r="M39" i="5"/>
  <c r="M15" i="4"/>
  <c r="V14" i="5"/>
  <c r="C42" i="19"/>
  <c r="C41" i="19"/>
  <c r="X35" i="5" s="1"/>
  <c r="N26" i="3"/>
  <c r="U25" i="5"/>
  <c r="E65" i="15"/>
  <c r="E64" i="15"/>
  <c r="W27" i="3" s="1"/>
  <c r="E62" i="15"/>
  <c r="E61" i="15"/>
  <c r="V27" i="3" s="1"/>
  <c r="C41" i="21"/>
  <c r="X37" i="5" s="1"/>
  <c r="C42" i="21"/>
  <c r="U34" i="5"/>
  <c r="N35" i="3"/>
  <c r="M45" i="5"/>
  <c r="M48" i="5"/>
  <c r="M47" i="5"/>
  <c r="M30" i="5"/>
  <c r="M29" i="5"/>
  <c r="M44" i="5"/>
  <c r="V40" i="3"/>
  <c r="V41" i="3"/>
  <c r="C41" i="18"/>
  <c r="X34" i="5" s="1"/>
  <c r="C42" i="18"/>
  <c r="E61" i="7"/>
  <c r="V14" i="3" s="1"/>
  <c r="E65" i="7"/>
  <c r="E64" i="7"/>
  <c r="W14" i="3" s="1"/>
  <c r="E62" i="7"/>
  <c r="M20" i="4" l="1"/>
  <c r="X39" i="5"/>
  <c r="U19" i="5"/>
  <c r="M40" i="4"/>
  <c r="V19" i="5"/>
  <c r="N21" i="3"/>
  <c r="N40" i="3"/>
  <c r="U40" i="5"/>
  <c r="M21" i="4"/>
  <c r="U20" i="5"/>
  <c r="V40" i="5"/>
  <c r="W45" i="3"/>
  <c r="W30" i="3"/>
  <c r="W49" i="3"/>
  <c r="W48" i="3"/>
  <c r="W46" i="3"/>
  <c r="W31" i="3"/>
  <c r="X19" i="5"/>
  <c r="N45" i="3"/>
  <c r="N30" i="3"/>
  <c r="N49" i="3"/>
  <c r="N48" i="3"/>
  <c r="N46" i="3"/>
  <c r="N31" i="3"/>
  <c r="W20" i="3"/>
  <c r="W21" i="3"/>
  <c r="U39" i="5"/>
  <c r="M30" i="4"/>
  <c r="M31" i="4"/>
  <c r="M45" i="4"/>
  <c r="M46" i="4"/>
  <c r="M49" i="4"/>
  <c r="M48" i="4"/>
  <c r="X47" i="5"/>
  <c r="X45" i="5"/>
  <c r="X48" i="5"/>
  <c r="X44" i="5"/>
  <c r="X30" i="5"/>
  <c r="X29" i="5"/>
  <c r="V45" i="5"/>
  <c r="V48" i="5"/>
  <c r="V44" i="5"/>
  <c r="V47" i="5"/>
  <c r="V30" i="5"/>
  <c r="V29" i="5"/>
  <c r="M41" i="4"/>
  <c r="X40" i="5"/>
  <c r="N41" i="3"/>
  <c r="V20" i="3"/>
  <c r="V21" i="3"/>
  <c r="N20" i="3"/>
  <c r="V45" i="3"/>
  <c r="V30" i="3"/>
  <c r="V49" i="3"/>
  <c r="V48" i="3"/>
  <c r="V46" i="3"/>
  <c r="V31" i="3"/>
  <c r="V20" i="5"/>
  <c r="U48" i="5"/>
  <c r="U47" i="5"/>
  <c r="U45" i="5"/>
  <c r="U29" i="5"/>
  <c r="U44" i="5"/>
  <c r="U30" i="5"/>
  <c r="V39" i="5"/>
</calcChain>
</file>

<file path=xl/sharedStrings.xml><?xml version="1.0" encoding="utf-8"?>
<sst xmlns="http://schemas.openxmlformats.org/spreadsheetml/2006/main" count="3048" uniqueCount="283">
  <si>
    <t>BID Comparable Analysis Summary</t>
  </si>
  <si>
    <t>Line item</t>
  </si>
  <si>
    <t>Method / context</t>
  </si>
  <si>
    <t>Output</t>
  </si>
  <si>
    <t>Assumptions and result</t>
  </si>
  <si>
    <t>Company</t>
  </si>
  <si>
    <t>BIDV (BID)</t>
  </si>
  <si>
    <t>Current price</t>
  </si>
  <si>
    <t>Market input</t>
  </si>
  <si>
    <t>VND 41.7k/share</t>
  </si>
  <si>
    <t>Comparable output</t>
  </si>
  <si>
    <t>Important note</t>
  </si>
  <si>
    <t>Analytical use only</t>
  </si>
  <si>
    <t>Not investment advice</t>
  </si>
  <si>
    <t>(VND in millions)</t>
  </si>
  <si>
    <t>List of Comparable Companies</t>
  </si>
  <si>
    <t>(VND in millions, except per share data)</t>
  </si>
  <si>
    <t>Equity</t>
  </si>
  <si>
    <t>Enterprise</t>
  </si>
  <si>
    <t>LTM</t>
  </si>
  <si>
    <t>Ticker</t>
  </si>
  <si>
    <t>Business Description</t>
  </si>
  <si>
    <t>Value</t>
  </si>
  <si>
    <t>Sales</t>
  </si>
  <si>
    <t>Benchmarking Analysis – Financial Statistics and Ratios, Page 1</t>
  </si>
  <si>
    <t>Market Valuation</t>
  </si>
  <si>
    <t>LTM Financial Statistics</t>
  </si>
  <si>
    <t>LTM Profitability Margins</t>
  </si>
  <si>
    <t>Growth Rates</t>
  </si>
  <si>
    <t>Gross</t>
  </si>
  <si>
    <t>Net</t>
  </si>
  <si>
    <t>EBITDA</t>
  </si>
  <si>
    <t>EPS</t>
  </si>
  <si>
    <t xml:space="preserve">Equity </t>
  </si>
  <si>
    <t>Profit</t>
  </si>
  <si>
    <t>EBIT</t>
  </si>
  <si>
    <t>Income</t>
  </si>
  <si>
    <t>Hist.</t>
  </si>
  <si>
    <t>Est.</t>
  </si>
  <si>
    <t>(%)</t>
  </si>
  <si>
    <t xml:space="preserve">1-year </t>
  </si>
  <si>
    <t>LT</t>
  </si>
  <si>
    <t>Tier I: Large-Cap</t>
  </si>
  <si>
    <t>Mean</t>
  </si>
  <si>
    <t>Median</t>
  </si>
  <si>
    <t>Tier II: Mid-Cap</t>
  </si>
  <si>
    <t>Tier III: Small-Cap</t>
  </si>
  <si>
    <t xml:space="preserve"> </t>
  </si>
  <si>
    <t>Overall</t>
  </si>
  <si>
    <t>High</t>
  </si>
  <si>
    <t>Low</t>
  </si>
  <si>
    <t>Source: vnstock KBS/VCI, company filings and model assumptions</t>
  </si>
  <si>
    <t>Note: LTM data based on FY2025; estimated data based on model year 2026E and 2027E.</t>
  </si>
  <si>
    <t>Note: Last twelve months data based on September 30, 2008.  Estimated annual financial data based on a calendar year.</t>
  </si>
  <si>
    <t>Benchmarking Analysis – Financial Statistics and Ratios, Page 2</t>
  </si>
  <si>
    <t>General</t>
  </si>
  <si>
    <t>Return on Investment</t>
  </si>
  <si>
    <t xml:space="preserve">LTM Leverage Ratios </t>
  </si>
  <si>
    <t>LTM Coverage Ratios</t>
  </si>
  <si>
    <t>Credit Ratings</t>
  </si>
  <si>
    <t>Implied</t>
  </si>
  <si>
    <t>Debt /</t>
  </si>
  <si>
    <t xml:space="preserve">Debt / </t>
  </si>
  <si>
    <t xml:space="preserve">Net Debt / </t>
  </si>
  <si>
    <t>EBITDA /</t>
  </si>
  <si>
    <t>EBIT /</t>
  </si>
  <si>
    <t>Predicted</t>
  </si>
  <si>
    <t>ROIC</t>
  </si>
  <si>
    <t>ROE</t>
  </si>
  <si>
    <t>ROA</t>
  </si>
  <si>
    <t>Div. Yield</t>
  </si>
  <si>
    <t>Tot. Cap.</t>
  </si>
  <si>
    <t>Int. Exp.</t>
  </si>
  <si>
    <t>- Cpx/ Int.</t>
  </si>
  <si>
    <t>FYE</t>
  </si>
  <si>
    <t>Beta</t>
  </si>
  <si>
    <t>(x)</t>
  </si>
  <si>
    <t>Moody's</t>
  </si>
  <si>
    <t>S&amp;P</t>
  </si>
  <si>
    <t>Comparable Companies Analysis</t>
  </si>
  <si>
    <t>Current</t>
  </si>
  <si>
    <t>% of</t>
  </si>
  <si>
    <t>Enterprise Value /</t>
  </si>
  <si>
    <t>Total</t>
  </si>
  <si>
    <t>Price /</t>
  </si>
  <si>
    <t>Share</t>
  </si>
  <si>
    <t>52-wk.</t>
  </si>
  <si>
    <t>2008E</t>
  </si>
  <si>
    <t xml:space="preserve"> 2009E</t>
  </si>
  <si>
    <t>Price</t>
  </si>
  <si>
    <t>Margin</t>
  </si>
  <si>
    <t>Growth</t>
  </si>
  <si>
    <t>Input Page</t>
  </si>
  <si>
    <t>Ngân hàng Thương mại Cổ phần Đầu tư và Phát triển Việt Nam (BIDV), có tiền thân là Ngân hàng Kiến thiết Việt Nam trực thuộc Bộ Tài chính được thành lập vào năm 1957. Ngân hàng hoạt động trong lĩnh vực huy động và kinh doanh vốn, và cung cấp các dịch vụ tài chính liên quan. BIDV chính thức hoạt động theo hình thức ngân hàng thương mại cổ phần từ năm 2012. BIDV được niêm yết trên Sở Giao dịch Chứng khoán Thành phố Hồ Chí Minh (HOSE) từ năm 2014. Kết thúc năm 2025, BIDV tiếp tục giữ vững vị thế là ngân hàng thương mại cổ phần có quy mô lớn nhất Việt Nam với tổng tài sản riêng khối ngân hàng thương mại đạt 3.3 triệu tỷ đồng. Năm 2025, so với cùng kỳ, biên lãi thuần (NIM) ở mức 2.11%, giảm 0.21%. Tỷ lệ nợ xấu ở mức 1.47%, tăng 0.06%. Tỷ lệ bao phủ nợ xấu ở mức 99.91%, giảm 31.1%. Lợi nhuận sau thuế công ty mẹ có giá trị bằng 29,9 nghìn tỷ đồng, tăng 18.95%. Tỷ suất lợi nhuận trên vốn chủ sở h</t>
  </si>
  <si>
    <t>General Information</t>
  </si>
  <si>
    <t>Reported Income Statement</t>
  </si>
  <si>
    <t>Balance Sheet Data</t>
  </si>
  <si>
    <t>Company Name</t>
  </si>
  <si>
    <t>Ngân hàng Thương mại Cổ phần Đầu tư và Phát triển Việt Nam</t>
  </si>
  <si>
    <t>Prior</t>
  </si>
  <si>
    <t xml:space="preserve">Current </t>
  </si>
  <si>
    <t>BID</t>
  </si>
  <si>
    <t>Stub</t>
  </si>
  <si>
    <t>Cash and Cash Equivalents</t>
  </si>
  <si>
    <t>Stock Exchange</t>
  </si>
  <si>
    <t>HOSE</t>
  </si>
  <si>
    <t>Accounts Receivable</t>
  </si>
  <si>
    <t>Fiscal Year Ending</t>
  </si>
  <si>
    <t>Inventories</t>
  </si>
  <si>
    <t>Moody's Corporate Rating</t>
  </si>
  <si>
    <t>NA</t>
  </si>
  <si>
    <t>COGS</t>
  </si>
  <si>
    <t>Prepaids and Other Current Assets</t>
  </si>
  <si>
    <t>S&amp;P Corporate Rating</t>
  </si>
  <si>
    <t xml:space="preserve">   Gross Profit</t>
  </si>
  <si>
    <t xml:space="preserve">   Total Current Assets</t>
  </si>
  <si>
    <t>Predicted Beta</t>
  </si>
  <si>
    <t>SG&amp;A</t>
  </si>
  <si>
    <t>Marginal Tax Rate</t>
  </si>
  <si>
    <t>Other Expense / (Income)</t>
  </si>
  <si>
    <t>Property, Plant and Equipment, net</t>
  </si>
  <si>
    <t xml:space="preserve">   EBIT</t>
  </si>
  <si>
    <t>Goodwill and Intangible Assets</t>
  </si>
  <si>
    <t>Selected Market Data</t>
  </si>
  <si>
    <t>Interest Expense</t>
  </si>
  <si>
    <t>Other Assets</t>
  </si>
  <si>
    <t>Current Price</t>
  </si>
  <si>
    <t xml:space="preserve">   Pre-tax Income</t>
  </si>
  <si>
    <t xml:space="preserve">   Total Assets</t>
  </si>
  <si>
    <t xml:space="preserve">   % of 52-week High</t>
  </si>
  <si>
    <t>Income Taxes</t>
  </si>
  <si>
    <t>52-week High Price</t>
  </si>
  <si>
    <t>Noncontrolling Interest</t>
  </si>
  <si>
    <t>Accounts Payable</t>
  </si>
  <si>
    <t>52-week Low Price</t>
  </si>
  <si>
    <t>Preferred Dividends</t>
  </si>
  <si>
    <t>Accrued Liabilities</t>
  </si>
  <si>
    <t>Dividend Per Share (MRQ)</t>
  </si>
  <si>
    <t xml:space="preserve">   Net Income</t>
  </si>
  <si>
    <t>Other Current Liabilities</t>
  </si>
  <si>
    <t xml:space="preserve">   Effective Tax Rate</t>
  </si>
  <si>
    <t xml:space="preserve">   Total Current Liabilities</t>
  </si>
  <si>
    <t>Fully Diluted Shares Outstanding</t>
  </si>
  <si>
    <t xml:space="preserve">   Equity Value</t>
  </si>
  <si>
    <t>Weighted Avg. Diluted Shares</t>
  </si>
  <si>
    <t>Total Debt</t>
  </si>
  <si>
    <t>Diluted EPS</t>
  </si>
  <si>
    <t>Other Long-Term Liabilities</t>
  </si>
  <si>
    <t>Plus: Total Debt</t>
  </si>
  <si>
    <t xml:space="preserve">   Total Liabilities </t>
  </si>
  <si>
    <t>Plus: Preferred Stock</t>
  </si>
  <si>
    <t>Plus: Noncontrolling Interest</t>
  </si>
  <si>
    <t>Adjusted Income Statement</t>
  </si>
  <si>
    <t>Less: Cash and Cash Equivalents</t>
  </si>
  <si>
    <t>Reported Gross Profit</t>
  </si>
  <si>
    <t>Preferred Stock</t>
  </si>
  <si>
    <t xml:space="preserve">   Enterprise Value</t>
  </si>
  <si>
    <t>Non-recurring Items in COGS</t>
  </si>
  <si>
    <t>Shareholders' Equity</t>
  </si>
  <si>
    <t xml:space="preserve">   Adj. Gross Profit</t>
  </si>
  <si>
    <t xml:space="preserve">   Total Liabilities and Equity</t>
  </si>
  <si>
    <t>Trading Multiples</t>
  </si>
  <si>
    <t xml:space="preserve">   % margin</t>
  </si>
  <si>
    <t>Balance Check</t>
  </si>
  <si>
    <t>NFY</t>
  </si>
  <si>
    <t>NFY+1</t>
  </si>
  <si>
    <t>Reported EBIT</t>
  </si>
  <si>
    <t>Calculation of Fully Diluted Shares Outstanding</t>
  </si>
  <si>
    <t>EV/Sales</t>
  </si>
  <si>
    <t>Basic Shares Outstanding</t>
  </si>
  <si>
    <t xml:space="preserve">   Metric</t>
  </si>
  <si>
    <t>Other Non-recurring Items</t>
  </si>
  <si>
    <t>Plus: Shares from In-the-Money Options</t>
  </si>
  <si>
    <t>EV/EBITDA</t>
  </si>
  <si>
    <t xml:space="preserve">   Adjusted EBIT</t>
  </si>
  <si>
    <t>Less: Shares Repurchased</t>
  </si>
  <si>
    <t xml:space="preserve">   Net New Shares from Options</t>
  </si>
  <si>
    <t>EV/EBIT</t>
  </si>
  <si>
    <t>Plus: Shares from Convertible Securities</t>
  </si>
  <si>
    <t>Depreciation &amp; Amortization</t>
  </si>
  <si>
    <t xml:space="preserve">   Fully Diluted Shares Outstanding</t>
  </si>
  <si>
    <t>P/E</t>
  </si>
  <si>
    <t xml:space="preserve">   Adjusted EBITDA</t>
  </si>
  <si>
    <t>Options/Warrants</t>
  </si>
  <si>
    <t>Number of</t>
  </si>
  <si>
    <t>Exercise</t>
  </si>
  <si>
    <t>In-the-Money</t>
  </si>
  <si>
    <t>LTM Return on Investment Ratios</t>
  </si>
  <si>
    <t>Reported Net Income</t>
  </si>
  <si>
    <t>Tranche</t>
  </si>
  <si>
    <t>Shares</t>
  </si>
  <si>
    <t>Proceeds</t>
  </si>
  <si>
    <t>Return on Invested Capital</t>
  </si>
  <si>
    <t>Tranche 1</t>
  </si>
  <si>
    <t>Return on Equity</t>
  </si>
  <si>
    <t>Tranche 2</t>
  </si>
  <si>
    <t>Return on Assets</t>
  </si>
  <si>
    <t>Non-operating Non-rec. Items</t>
  </si>
  <si>
    <t>Tranche 3</t>
  </si>
  <si>
    <t>Implied Annual Dividend Per Share</t>
  </si>
  <si>
    <t xml:space="preserve">Tax Adjustment </t>
  </si>
  <si>
    <t>Tranche 4</t>
  </si>
  <si>
    <t xml:space="preserve">   Adjusted Net Income</t>
  </si>
  <si>
    <t>Tranche 5</t>
  </si>
  <si>
    <t>LTM Credit Statistics</t>
  </si>
  <si>
    <t xml:space="preserve">   Total</t>
  </si>
  <si>
    <t>Debt/Total Capitalization</t>
  </si>
  <si>
    <t>Total Debt/EBITDA</t>
  </si>
  <si>
    <t>Adjusted Diluted EPS</t>
  </si>
  <si>
    <t>Convertible Securities</t>
  </si>
  <si>
    <t>Net Debt/EBITDA</t>
  </si>
  <si>
    <t>Conversion</t>
  </si>
  <si>
    <t xml:space="preserve">Conversion </t>
  </si>
  <si>
    <t xml:space="preserve">New </t>
  </si>
  <si>
    <t>EBITDA/Interest Expense</t>
  </si>
  <si>
    <t>Amount</t>
  </si>
  <si>
    <t>Ratio</t>
  </si>
  <si>
    <t>(EBITDA-capex)/Interest Expense</t>
  </si>
  <si>
    <t>Cash Flow Statement Data</t>
  </si>
  <si>
    <t>Issue 1</t>
  </si>
  <si>
    <t>EBIT/Interest Expense</t>
  </si>
  <si>
    <t>Issue 2</t>
  </si>
  <si>
    <t xml:space="preserve">   % sales</t>
  </si>
  <si>
    <t>Issue 3</t>
  </si>
  <si>
    <t>Capital Expenditures</t>
  </si>
  <si>
    <t>Issue 4</t>
  </si>
  <si>
    <t>Issue 5</t>
  </si>
  <si>
    <t>Historical</t>
  </si>
  <si>
    <t>1-year</t>
  </si>
  <si>
    <t>2-year CAGR</t>
  </si>
  <si>
    <t>Notes</t>
  </si>
  <si>
    <t>Estimated</t>
  </si>
  <si>
    <t>(1)  [to come]</t>
  </si>
  <si>
    <t>(2)  [to come]</t>
  </si>
  <si>
    <t>(3)  [to come]</t>
  </si>
  <si>
    <t>Long-term</t>
  </si>
  <si>
    <t>(4)  [to come]</t>
  </si>
  <si>
    <t>Ngân hàng Thương mại Cổ phần Ngoại thương Việt Nam (Vietcombank) chính thức đi vào hoạt động ngày 01/04/1963. Là ngân hàng thương mại nhà nước đầu tiên được Chính phủ lựa chọn thực hiện thí điểm cổ phần hoá, Ngân hàng Ngoại thương Việt Nam chính thức hoạt động với tư cách là một Ngân hàng Thương mại Cổ phần từ ngày 02/06/2008 sau khi thực hiện thành công kế hoạch cổ phần hóa thông qua việc phát hành cổ phiếu lần đầu ra công chúng. Năm 2025, so với cùng kỳ, biên lãi thuần (NIM) ở mức 2.63%, giảm 0.23%. Tỷ lệ nợ xấu ở mức 0.58%, giảm 0.39%. Tỷ lệ bao phủ nợ xấu ở mức 258.29%, tăng 34.98%. Lợi nhuận sau thuế công ty mẹ có giá trị bằng 35,2 nghìn tỷ đồng, tăng 3.98%. Tỷ suất lợi nhuận trên vốn chủ sở hữu (ROE) ở mức 16.73%, giảm 2.01%. VCB chính thức niêm yết và giao dịch trên Sở Giao dịch Chứng khoán Thành phố Hồ Chí Minh từ năm 2009.</t>
  </si>
  <si>
    <t>Ngân hàng Thương mại Cổ phần Ngoại thương Việt Nam</t>
  </si>
  <si>
    <t>VCB</t>
  </si>
  <si>
    <t>Ngân hàng Thương mại Cổ phần Công thương Việt Nam (VietinBank) được thành lập từ năm 1988 sau khi tách ra từ Ngân hàng Nhà nước Việt Nam. Ngân hàng hoạt động trong lĩnh vực huy động và kinh doanh vốn, và cung cấp các dịch vụ tài chính liên quan. VietinBank chính thức hoạt động theo mô hình ngân hàng cổ phần từ năm 2009. VietinBank được niêm yết và giao dịch trên Sở Giao dịch Chứng khoán Thành phố Hồ Chí Minh (HOSE) từ năm 2009. Năm 2025, so với cùng kỳ, biên lãi thuần (NIM) ở mức 2.62%, giảm 0.26%. Tỷ lệ nợ xấu ở mức 1.1%, giảm 0.12%. Tỷ lệ bao phủ nợ xấu ở mức 158.83%, giảm 15.84%. Lợi nhuận sau thuế công ty mẹ có giá trị bằng 34,6 nghìn tỷ đồng, tăng 36.52%. Tỷ suất lợi nhuận trên vốn chủ sở hữu (ROE) ở mức 21.23%, tăng 2.63%.</t>
  </si>
  <si>
    <t>Ngân hàng Thương mại Cổ phần Công thương Việt Nam</t>
  </si>
  <si>
    <t>CTG</t>
  </si>
  <si>
    <t>Ngân hàng Thương mại Cổ phần Quân đội (MBB) được thành lập từ năm 1994 với mục tiêu ban đầu là đáp ứng nhu cầu dịch vụ tài chính cho các Doanh nghiệp Quân đội. Ngân hàng hoạt động trong lĩnh vực huy động vốn, cấp tín dụng và các dịch vụ tài chính liên quan. Bên cạnh thị trường truyền thống ban đầu, Ngân hàng đã phát triển và đa dạng hóa nhiều sản phẩm dịch vụ tài chính để đáp ứng cho các đối tượng khách hàng khác nhau. Năm 2025, so với cùng kỳ, biên lãi thuần (NIM) ở mức 3.87%, giảm 0.21%. Tỷ lệ nợ xấu ở mức 1.29%, giảm 0.33%. Tỷ lệ bao phủ nợ xấu ở mức 93.75%, tăng 1.5%. Lợi nhuận sau thuế công ty mẹ có giá trị bằng 26,8 nghìn tỷ đồng, tăng 18.31%. Tỷ suất lợi nhuận trên vốn chủ sở hữu (ROE) ở mức 21.57%, giảm 0.52%.</t>
  </si>
  <si>
    <t>Ngân hàng Thương mại Cổ phần Quân đội</t>
  </si>
  <si>
    <t>MBB</t>
  </si>
  <si>
    <t>Ngân hàng Thương mại Cổ phần Kỹ thương Việt Nam (TCB) được thành lập vào năm 1993. Ngân hàng hoạt động trong lĩnh vực huy động và kinh doanh vốn, và cung cấp các dịch vụ tài chính liên quan. Techcombank trở thành công ty đại chúng từ năm 2007. Năm 2025, so với cùng kỳ, biên lãi thuần (NIM) ở mức 3.74%, giảm 0.47%. Tỷ lệ nợ xấu ở mức 1.07%, giảm 0.06%. Tỷ lệ bao phủ nợ xấu ở mức 128.05%, tăng 14.11%. Lợi nhuận sau thuế công ty mẹ có giá trị bằng 25,3 nghìn tỷ đồng, tăng 17.5%. Tỷ suất lợi nhuận trên vốn chủ sở hữu (ROE) ở mức 16.03%, tăng 0.42%. Ngày 04/06/2018, TCB chính thức giao dịch trên Sở giao dịch Chứng khoán Thành phố Hồ Chí Minh (HOSE).</t>
  </si>
  <si>
    <t>Ngân hàng Thương mại Cổ phần Kỹ thương Việt Nam</t>
  </si>
  <si>
    <t>TCB</t>
  </si>
  <si>
    <t>Ngân hàng Thương mại Cổ phần Á Châu (ACB) được thành lập năm 1993. Ngân hàng hoạt động trong lĩnh vực huy động, kinh doanh vốn và cung cấp các dịch vụ tài chính liên quan. Năm 2025, so với cùng kỳ, biên lãi thuần (NIM) ở mức 2.92%, giảm 0.68%. Tỷ lệ nợ xấu ở mức 0.97%, giảm 0.52%. Tỷ lệ bao phủ nợ xấu ở mức 114.29%, tăng 36.37%. Lợi nhuận sau thuế công ty mẹ có giá trị bằng 15,6 nghìn tỷ đồng, giảm 6.94%. Tỷ suất lợi nhuận trên vốn chủ sở hữu (ROE) ở mức 17.56%, giảm 4.19%. Ngày 09/12/2020, ACB chính thức giao dịch trên Sở Giao dịch Chứng khoán Thành phố Hồ Chí Minh (HOSE).</t>
  </si>
  <si>
    <t>Ngân hàng Thương mại Cổ phần Á Châu</t>
  </si>
  <si>
    <t>ACB</t>
  </si>
  <si>
    <t>Peer set / transaction set</t>
  </si>
  <si>
    <t>Listed peer companies and disclosed transaction comparables</t>
  </si>
  <si>
    <t>Comparable multiples, precedent premiums, and market-based valuation checks.</t>
  </si>
  <si>
    <t>Template</t>
  </si>
  <si>
    <t>SV- Comparable Companies_Template.xlsx; Vietnamese bank filings; HoSE/SSI market data; analyst forecasts compiled June 2026.</t>
  </si>
  <si>
    <t>Original model tabs, formulas, and output structures retained from the selected valuation template.</t>
  </si>
  <si>
    <t>Analyst work</t>
  </si>
  <si>
    <t>NVTH valuation model, compiled June 2026</t>
  </si>
  <si>
    <t>Forecast assumptions, normalization choices, method weighting, and final summary interpretation.</t>
  </si>
  <si>
    <t>Selected median</t>
  </si>
  <si>
    <t>Comparable company analysis</t>
  </si>
  <si>
    <t>Selected P/E implied value</t>
  </si>
  <si>
    <t>Sources and Calibration Notes</t>
  </si>
  <si>
    <t>Market price anchor</t>
  </si>
  <si>
    <t>Spot/current price input embedded in model workbook as of compilation date.</t>
  </si>
  <si>
    <t>Use limitation</t>
  </si>
  <si>
    <t>Public-market peer multiple check using selected normalized P/E medians.</t>
  </si>
  <si>
    <t>Reference price used to convert target multiples into implied value.</t>
  </si>
  <si>
    <t>VND 39.7k/share-VND 44.3k/share</t>
  </si>
  <si>
    <t>Selected peer P/E medians: LTM 6.1x, 2026E 9.4x, 2027E 9.1x.</t>
  </si>
  <si>
    <t>Scenario role</t>
  </si>
  <si>
    <t>Market multiple check</t>
  </si>
  <si>
    <t>Only method; range matters</t>
  </si>
  <si>
    <t>BID uses a comparable-only framework; the selected medians create a valuation band around spot rather than a single point estimate.</t>
  </si>
  <si>
    <t>Interpretation</t>
  </si>
  <si>
    <t>Cross-check, not target price</t>
  </si>
  <si>
    <t>Method spread is intentional</t>
  </si>
  <si>
    <t>Comparable analysis should differ from DCF/LBO/precedent because it reflects public-market earnings multiples rather than intrinsic cash flow or control value.</t>
  </si>
  <si>
    <t>Refresh peer set, prices, estimates, and selected medians before use.</t>
  </si>
  <si>
    <t>Scenario calibration</t>
  </si>
  <si>
    <t>Analytical use only; refresh market data, financials, peer set, WACC, multiples, leverage, and transaction premiums before investment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</si>
</sst>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 #,##0_-;_-* &quot;-&quot;_-;_-@_-"/>
    <numFmt numFmtId="43" formatCode="_-* #,##0.00_-;\-* #,##0.00_-;_-* &quot;-&quot;??_-;_-@_-"/>
    <numFmt numFmtId="164" formatCode="* _(&quot;$&quot;#,##0_);* \(&quot;$&quot;#,##0\);* _(&quot;-&quot;?_);_(@_)"/>
    <numFmt numFmtId="165" formatCode="* _(#,##0_);* \(#,##0\);* _(&quot;-&quot;?_);_(@_)"/>
    <numFmt numFmtId="166" formatCode="_(&quot;$&quot;* #,##0.00_);_(&quot;$&quot;* \(#,##0.00\);_(&quot;$&quot;* &quot;-&quot;??_);_(@_)"/>
    <numFmt numFmtId="167" formatCode="* _(&quot;$&quot;##,##0_);[Red]* \(&quot;$&quot;##,##0\);* _(&quot;-&quot;?_);_(@_)"/>
    <numFmt numFmtId="168" formatCode="#,##0.0_);[Red]\(#,##0.0\)"/>
    <numFmt numFmtId="169" formatCode="0.0%"/>
    <numFmt numFmtId="170" formatCode="* _(##,##0_);[Red]* \(##,##0\);* _(&quot;-&quot;?_);_(@_)"/>
    <numFmt numFmtId="171" formatCode="_(&quot;$&quot;* #,##0.0_);_(&quot;$&quot;* \(#,##0.0\);_(&quot;$&quot;* &quot;-&quot;??_);_(@_)"/>
    <numFmt numFmtId="172" formatCode="0.0\x"/>
    <numFmt numFmtId="173" formatCode="_(* #,##0.0_);_(* \(#,##0.0\);_(* &quot;-&quot;?_);_(@_)"/>
    <numFmt numFmtId="174" formatCode="mmm\-dd"/>
    <numFmt numFmtId="175" formatCode="0.0.\x"/>
    <numFmt numFmtId="176" formatCode="m/d/yy"/>
    <numFmt numFmtId="177" formatCode="* _(&quot;$&quot;#,##0.00_);* \(&quot;$&quot;#,##0.00\);* _(&quot;-&quot;?_);_(@_)"/>
    <numFmt numFmtId="178" formatCode="* _(#,##0.00_);* \(#,##0.00\);* _(&quot;-&quot;?_);_(@_)"/>
    <numFmt numFmtId="179" formatCode="0.00\x"/>
    <numFmt numFmtId="180" formatCode="_(* #,##0.0000_);_(* \(#,##0.0000\);_(* &quot;-&quot;?_);_(@_)"/>
    <numFmt numFmtId="181" formatCode="#,##0.00000"/>
    <numFmt numFmtId="182" formatCode="yyyy\A"/>
    <numFmt numFmtId="183" formatCode="_(&quot;$&quot;* #,##0.0_);_(&quot;$&quot;* \(#,##0.0\);_(&quot;$&quot;* &quot;-&quot;?_);_(@_)"/>
    <numFmt numFmtId="184" formatCode="* _(&quot;$&quot;#,##0.0_);* \(&quot;$&quot;#,##0.0\);* _(&quot;-&quot;?_);_(@_)"/>
    <numFmt numFmtId="185" formatCode="* _(##,##0.0_);* \(##,##0.0\);* _(&quot;-&quot;?_);_(@_)"/>
    <numFmt numFmtId="186" formatCode="* _(#,##0.0%_);* \(#,##0.0%\);* _(&quot;-&quot;?_);_(@_)"/>
    <numFmt numFmtId="187" formatCode="* _(##,##0.0_);[Red]* \(##,##0.0\);* _(&quot;-&quot;?_);_(@_)"/>
    <numFmt numFmtId="188" formatCode="m/d/yyyy"/>
    <numFmt numFmtId="189" formatCode="* _(##,##0.000_);* \(##,##0.000\);* _(&quot;-&quot;?_);_(@_)"/>
    <numFmt numFmtId="190" formatCode="#,##0.000_);[Red]\(#,##0.000\)"/>
    <numFmt numFmtId="191" formatCode="yyyy\E"/>
    <numFmt numFmtId="192" formatCode="_(* 0.0\x_);_(* \(0.0\x\);_(* &quot;-&quot;?_);_(@_)"/>
    <numFmt numFmtId="193" formatCode="* _(##,##0.000_);[Red]* \(##,##0.000\);* _(&quot;-&quot;?_);_(@_)"/>
    <numFmt numFmtId="194" formatCode="_(* #,##0.000_);_(* \(#,##0.000\);_(* &quot;-&quot;???_);_(@_)"/>
    <numFmt numFmtId="195" formatCode="* _(#,##0.0_);* \(#,##0.0\);* _(&quot;-&quot;?_);_(@_)"/>
    <numFmt numFmtId="196" formatCode="_(* 0.0\x_);_(* \(0.0\x\);_(* &quot;-&quot;??_);_(@_)"/>
    <numFmt numFmtId="197" formatCode="* _(#,##0.0%_);* \(#,##0.0%\);* _(&quot;-&quot;??_);_(@_)"/>
    <numFmt numFmtId="198" formatCode="_(* #,##0.00_);_(* \(#,##0.00\);_(* &quot;-&quot;?_);_(@_)"/>
    <numFmt numFmtId="199" formatCode="&quot;$&quot;#,##0.0_);[Red]\(&quot;$&quot;#,##0.0\)"/>
  </numFmts>
  <fonts count="70" x14ac:knownFonts="1">
    <font>
      <sz val="10"/>
      <color rgb="FF000000"/>
      <name val="Arial"/>
      <scheme val="minor"/>
    </font>
    <font>
      <i/>
      <sz val="10"/>
      <color theme="1"/>
      <name val="Arial"/>
      <family val="2"/>
      <charset val="163"/>
    </font>
    <font>
      <sz val="10"/>
      <color theme="1"/>
      <name val="Arial"/>
      <family val="2"/>
      <charset val="163"/>
    </font>
    <font>
      <b/>
      <u/>
      <sz val="12"/>
      <color rgb="FFFFFFFF"/>
      <name val="Arial"/>
      <family val="2"/>
      <charset val="163"/>
    </font>
    <font>
      <b/>
      <sz val="10"/>
      <color theme="1"/>
      <name val="Arial"/>
      <family val="2"/>
      <charset val="163"/>
    </font>
    <font>
      <b/>
      <u/>
      <sz val="10"/>
      <color theme="1"/>
      <name val="Arial"/>
      <family val="2"/>
      <charset val="163"/>
    </font>
    <font>
      <b/>
      <u/>
      <sz val="10"/>
      <color theme="1"/>
      <name val="Arial"/>
      <family val="2"/>
      <charset val="163"/>
    </font>
    <font>
      <b/>
      <sz val="20"/>
      <color rgb="FFFFFFFF"/>
      <name val="Arial"/>
      <family val="2"/>
      <charset val="163"/>
    </font>
    <font>
      <sz val="10"/>
      <color rgb="FFFFFFFF"/>
      <name val="Arial"/>
      <family val="2"/>
      <charset val="163"/>
    </font>
    <font>
      <b/>
      <sz val="14"/>
      <color rgb="FFFFFFFF"/>
      <name val="Arial"/>
      <family val="2"/>
      <charset val="163"/>
    </font>
    <font>
      <i/>
      <sz val="10"/>
      <color rgb="FFFFFFFF"/>
      <name val="Arial"/>
      <family val="2"/>
      <charset val="163"/>
    </font>
    <font>
      <i/>
      <sz val="9"/>
      <color rgb="FFFFFFFF"/>
      <name val="Arial"/>
      <family val="2"/>
      <charset val="163"/>
    </font>
    <font>
      <b/>
      <u/>
      <sz val="10"/>
      <color rgb="FFFFFFFF"/>
      <name val="Arial"/>
      <family val="2"/>
      <charset val="163"/>
    </font>
    <font>
      <b/>
      <u/>
      <sz val="10"/>
      <color theme="1"/>
      <name val="Arial"/>
      <family val="2"/>
      <charset val="163"/>
    </font>
    <font>
      <b/>
      <u/>
      <sz val="10"/>
      <color theme="1"/>
      <name val="Arial"/>
      <family val="2"/>
      <charset val="163"/>
    </font>
    <font>
      <b/>
      <u/>
      <sz val="10"/>
      <color rgb="FFFFFFFF"/>
      <name val="Arial"/>
      <family val="2"/>
      <charset val="163"/>
    </font>
    <font>
      <sz val="9"/>
      <color theme="1"/>
      <name val="Arial"/>
      <family val="2"/>
      <charset val="163"/>
    </font>
    <font>
      <b/>
      <sz val="9"/>
      <color theme="1"/>
      <name val="Arial"/>
      <family val="2"/>
      <charset val="163"/>
    </font>
    <font>
      <b/>
      <sz val="10"/>
      <color rgb="FF993366"/>
      <name val="Arial"/>
      <family val="2"/>
      <charset val="163"/>
    </font>
    <font>
      <i/>
      <sz val="9"/>
      <color theme="1"/>
      <name val="Arial"/>
      <family val="2"/>
      <charset val="163"/>
    </font>
    <font>
      <b/>
      <sz val="10"/>
      <color rgb="FFFFFFFF"/>
      <name val="Arial"/>
      <family val="2"/>
      <charset val="163"/>
    </font>
    <font>
      <b/>
      <sz val="16"/>
      <color rgb="FFFFFFFF"/>
      <name val="Arial"/>
      <family val="2"/>
      <charset val="163"/>
    </font>
    <font>
      <sz val="14"/>
      <color rgb="FFFFFFFF"/>
      <name val="Arial"/>
      <family val="2"/>
      <charset val="163"/>
    </font>
    <font>
      <b/>
      <sz val="10"/>
      <color rgb="FF993300"/>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sz val="10"/>
      <color rgb="FF0000FF"/>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b/>
      <u/>
      <sz val="10"/>
      <color rgb="FF0000FF"/>
      <name val="Arial"/>
      <family val="2"/>
      <charset val="163"/>
    </font>
    <font>
      <b/>
      <u/>
      <sz val="10"/>
      <color rgb="FF0000FF"/>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b/>
      <u/>
      <sz val="10"/>
      <color theme="1"/>
      <name val="Arial"/>
      <family val="2"/>
      <charset val="163"/>
    </font>
    <font>
      <i/>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b/>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b/>
      <u/>
      <sz val="10"/>
      <color theme="1"/>
      <name val="Arial"/>
      <family val="2"/>
      <charset val="163"/>
    </font>
    <font>
      <u/>
      <sz val="10"/>
      <color rgb="FF0000FF"/>
      <name val="Arial"/>
      <family val="2"/>
      <charset val="163"/>
    </font>
    <font>
      <u/>
      <sz val="10"/>
      <color theme="1"/>
      <name val="Arial"/>
      <family val="2"/>
      <charset val="163"/>
    </font>
    <font>
      <sz val="10"/>
      <color rgb="FF0000FF"/>
      <name val="Arial"/>
      <family val="2"/>
      <charset val="163"/>
    </font>
    <font>
      <sz val="10"/>
      <color rgb="FF20242A"/>
      <name val="Aptos"/>
      <family val="2"/>
    </font>
    <font>
      <b/>
      <sz val="10"/>
      <color rgb="FF20242A"/>
      <name val="Aptos"/>
      <family val="2"/>
    </font>
    <font>
      <sz val="10"/>
      <color rgb="FF000000"/>
      <name val="Arial"/>
      <family val="2"/>
      <charset val="163"/>
      <scheme val="minor"/>
    </font>
    <font>
      <b/>
      <sz val="10"/>
      <color rgb="FF0000FF"/>
      <name val="Arial"/>
      <family val="2"/>
      <charset val="163"/>
    </font>
    <font>
      <b/>
      <sz val="10"/>
      <color rgb="FFFFFFFF"/>
      <name val="Arial"/>
      <family val="2"/>
      <charset val="163"/>
      <scheme val="minor"/>
    </font>
    <font>
      <b/>
      <sz val="10"/>
      <color rgb="FF000000"/>
      <name val="Arial"/>
      <family val="2"/>
      <charset val="163"/>
      <scheme val="minor"/>
    </font>
  </fonts>
  <fills count="14">
    <fill>
      <patternFill patternType="none"/>
    </fill>
    <fill>
      <patternFill patternType="gray125"/>
    </fill>
    <fill>
      <patternFill patternType="solid">
        <fgColor rgb="FF3366FF"/>
        <bgColor rgb="FF3366FF"/>
      </patternFill>
    </fill>
    <fill>
      <patternFill patternType="solid">
        <fgColor rgb="FFFFCC00"/>
        <bgColor rgb="FFFFCC00"/>
      </patternFill>
    </fill>
    <fill>
      <patternFill patternType="solid">
        <fgColor rgb="FFFFFF99"/>
        <bgColor rgb="FFFFFF99"/>
      </patternFill>
    </fill>
    <fill>
      <patternFill patternType="solid">
        <fgColor rgb="FFFFFFFF"/>
        <bgColor rgb="FFFFFFFF"/>
      </patternFill>
    </fill>
    <fill>
      <patternFill patternType="solid">
        <fgColor rgb="FFCCFFFF"/>
        <bgColor rgb="FFCCFFFF"/>
      </patternFill>
    </fill>
    <fill>
      <patternFill patternType="solid">
        <fgColor rgb="FFFFFFFF"/>
      </patternFill>
    </fill>
    <fill>
      <patternFill patternType="solid">
        <fgColor rgb="FFF4F6F8"/>
      </patternFill>
    </fill>
    <fill>
      <patternFill patternType="solid">
        <fgColor rgb="FFFFFF00"/>
        <bgColor rgb="FFFFCC00"/>
      </patternFill>
    </fill>
    <fill>
      <patternFill patternType="solid">
        <fgColor rgb="FF1F4E79"/>
        <bgColor indexed="64"/>
      </patternFill>
    </fill>
    <fill>
      <patternFill patternType="solid">
        <fgColor rgb="FFDDEBF7"/>
        <bgColor indexed="64"/>
      </patternFill>
    </fill>
    <fill>
      <patternFill patternType="solid">
        <fgColor rgb="FFE2EFDA"/>
        <bgColor indexed="64"/>
      </patternFill>
    </fill>
    <fill>
      <patternFill patternType="solid">
        <fgColor rgb="FFFFF2CC"/>
        <bgColor indexed="64"/>
      </patternFill>
    </fill>
  </fills>
  <borders count="16">
    <border>
      <left/>
      <right/>
      <top/>
      <bottom/>
      <diagonal/>
    </border>
    <border>
      <left/>
      <right/>
      <top/>
      <bottom/>
      <diagonal/>
    </border>
    <border>
      <left/>
      <right/>
      <top/>
      <bottom style="dotted">
        <color rgb="FF000000"/>
      </bottom>
      <diagonal/>
    </border>
    <border>
      <left/>
      <right/>
      <top style="dotted">
        <color rgb="FF808080"/>
      </top>
      <bottom style="dotted">
        <color rgb="FF808080"/>
      </bottom>
      <diagonal/>
    </border>
    <border>
      <left/>
      <right/>
      <top style="dotted">
        <color rgb="FF808080"/>
      </top>
      <bottom/>
      <diagonal/>
    </border>
    <border>
      <left/>
      <right/>
      <top/>
      <bottom style="thin">
        <color rgb="FF000000"/>
      </bottom>
      <diagonal/>
    </border>
    <border>
      <left style="dotted">
        <color rgb="FF000000"/>
      </left>
      <right/>
      <top/>
      <bottom/>
      <diagonal/>
    </border>
    <border>
      <left/>
      <right style="dotted">
        <color rgb="FF000000"/>
      </right>
      <top/>
      <bottom/>
      <diagonal/>
    </border>
    <border>
      <left style="dotted">
        <color rgb="FF000000"/>
      </left>
      <right/>
      <top/>
      <bottom/>
      <diagonal/>
    </border>
    <border>
      <left/>
      <right style="dotted">
        <color rgb="FF000000"/>
      </right>
      <top/>
      <bottom/>
      <diagonal/>
    </border>
    <border>
      <left style="dotted">
        <color rgb="FF000000"/>
      </left>
      <right/>
      <top style="dotted">
        <color rgb="FF000000"/>
      </top>
      <bottom/>
      <diagonal/>
    </border>
    <border>
      <left/>
      <right style="dotted">
        <color rgb="FF000000"/>
      </right>
      <top style="dotted">
        <color rgb="FF000000"/>
      </top>
      <bottom/>
      <diagonal/>
    </border>
    <border>
      <left style="dotted">
        <color rgb="FF000000"/>
      </left>
      <right/>
      <top/>
      <bottom style="dotted">
        <color rgb="FF000000"/>
      </bottom>
      <diagonal/>
    </border>
    <border>
      <left/>
      <right style="dotted">
        <color rgb="FF000000"/>
      </right>
      <top/>
      <bottom style="dotted">
        <color rgb="FF000000"/>
      </bottom>
      <diagonal/>
    </border>
    <border>
      <left style="thin">
        <color rgb="FFA7B0BA"/>
      </left>
      <right style="thin">
        <color rgb="FFA7B0BA"/>
      </right>
      <top style="thin">
        <color rgb="FFA7B0BA"/>
      </top>
      <bottom style="thin">
        <color rgb="FFA7B0BA"/>
      </bottom>
      <diagonal/>
    </border>
    <border>
      <left style="thin">
        <color rgb="FFB4B4B4"/>
      </left>
      <right style="thin">
        <color rgb="FFB4B4B4"/>
      </right>
      <top style="thin">
        <color rgb="FFB4B4B4"/>
      </top>
      <bottom style="thin">
        <color rgb="FFB4B4B4"/>
      </bottom>
      <diagonal/>
    </border>
  </borders>
  <cellStyleXfs count="1">
    <xf numFmtId="0" fontId="0" fillId="0" borderId="1"/>
  </cellStyleXfs>
  <cellXfs count="271">
    <xf numFmtId="0" fontId="0" fillId="0" borderId="0" xfId="0" applyBorder="1"/>
    <xf numFmtId="0" fontId="1" fillId="0" borderId="0" xfId="0" applyFont="1" applyBorder="1"/>
    <xf numFmtId="0" fontId="2" fillId="0" borderId="0" xfId="0" applyFont="1" applyBorder="1"/>
    <xf numFmtId="0" fontId="4" fillId="3" borderId="1" xfId="0" applyFont="1" applyFill="1"/>
    <xf numFmtId="0" fontId="2" fillId="3" borderId="1" xfId="0" applyFont="1" applyFill="1"/>
    <xf numFmtId="0" fontId="4" fillId="3" borderId="1" xfId="0" applyFont="1" applyFill="1" applyAlignment="1">
      <alignment horizontal="center"/>
    </xf>
    <xf numFmtId="0" fontId="5" fillId="3" borderId="1" xfId="0" applyFont="1" applyFill="1"/>
    <xf numFmtId="0" fontId="6" fillId="3" borderId="1" xfId="0" applyFont="1" applyFill="1" applyAlignment="1">
      <alignment horizontal="center"/>
    </xf>
    <xf numFmtId="0" fontId="4" fillId="0" borderId="2" xfId="0" applyFont="1" applyBorder="1" applyAlignment="1">
      <alignment vertical="top"/>
    </xf>
    <xf numFmtId="0" fontId="4" fillId="0" borderId="2" xfId="0" applyFont="1" applyBorder="1" applyAlignment="1">
      <alignment vertical="top" wrapText="1"/>
    </xf>
    <xf numFmtId="164" fontId="4" fillId="0" borderId="2" xfId="0" applyNumberFormat="1" applyFont="1" applyBorder="1" applyAlignment="1">
      <alignment horizontal="right" vertical="top"/>
    </xf>
    <xf numFmtId="0" fontId="2" fillId="0" borderId="0" xfId="0" applyFont="1" applyBorder="1" applyAlignment="1">
      <alignment vertical="top"/>
    </xf>
    <xf numFmtId="0" fontId="2" fillId="0" borderId="0" xfId="0" applyFont="1" applyBorder="1" applyAlignment="1">
      <alignment vertical="top" wrapText="1"/>
    </xf>
    <xf numFmtId="165" fontId="2" fillId="0" borderId="3" xfId="0" applyNumberFormat="1" applyFont="1" applyBorder="1" applyAlignment="1">
      <alignment horizontal="right" vertical="top"/>
    </xf>
    <xf numFmtId="0" fontId="2" fillId="0" borderId="3" xfId="0" applyFont="1" applyBorder="1" applyAlignment="1">
      <alignment vertical="top"/>
    </xf>
    <xf numFmtId="0" fontId="2" fillId="0" borderId="3" xfId="0" applyFont="1" applyBorder="1" applyAlignment="1">
      <alignment vertical="top" wrapText="1"/>
    </xf>
    <xf numFmtId="165" fontId="2" fillId="0" borderId="4" xfId="0" applyNumberFormat="1" applyFont="1" applyBorder="1" applyAlignment="1">
      <alignment horizontal="right" vertical="top"/>
    </xf>
    <xf numFmtId="0" fontId="7" fillId="2" borderId="1" xfId="0" applyFont="1" applyFill="1"/>
    <xf numFmtId="0" fontId="8" fillId="2" borderId="1" xfId="0" applyFont="1" applyFill="1"/>
    <xf numFmtId="0" fontId="8" fillId="2" borderId="1" xfId="0" applyFont="1" applyFill="1" applyAlignment="1">
      <alignment horizontal="center"/>
    </xf>
    <xf numFmtId="0" fontId="2" fillId="2" borderId="1" xfId="0" applyFont="1" applyFill="1"/>
    <xf numFmtId="0" fontId="9" fillId="2" borderId="1" xfId="0" applyFont="1" applyFill="1"/>
    <xf numFmtId="0" fontId="10" fillId="2" borderId="1" xfId="0" applyFont="1" applyFill="1"/>
    <xf numFmtId="0" fontId="11" fillId="0" borderId="0" xfId="0" applyFont="1" applyBorder="1"/>
    <xf numFmtId="0" fontId="8" fillId="0" borderId="0" xfId="0" applyFont="1" applyBorder="1"/>
    <xf numFmtId="0" fontId="8" fillId="0" borderId="0" xfId="0" applyFont="1" applyBorder="1" applyAlignment="1">
      <alignment horizontal="center"/>
    </xf>
    <xf numFmtId="166" fontId="2" fillId="0" borderId="0" xfId="0" applyNumberFormat="1" applyFont="1" applyBorder="1"/>
    <xf numFmtId="0" fontId="4" fillId="0" borderId="0" xfId="0" applyFont="1" applyBorder="1" applyAlignment="1">
      <alignment horizontal="center"/>
    </xf>
    <xf numFmtId="0" fontId="4" fillId="0" borderId="0" xfId="0" applyFont="1" applyBorder="1"/>
    <xf numFmtId="0" fontId="14" fillId="0" borderId="0" xfId="0" applyFont="1" applyBorder="1"/>
    <xf numFmtId="0" fontId="2" fillId="0" borderId="0" xfId="0" applyFont="1" applyBorder="1" applyAlignment="1">
      <alignment horizontal="center"/>
    </xf>
    <xf numFmtId="167" fontId="4" fillId="0" borderId="0" xfId="0" applyNumberFormat="1" applyFont="1" applyBorder="1" applyAlignment="1">
      <alignment horizontal="right"/>
    </xf>
    <xf numFmtId="168" fontId="4" fillId="0" borderId="0" xfId="0" applyNumberFormat="1" applyFont="1" applyBorder="1"/>
    <xf numFmtId="9" fontId="4" fillId="0" borderId="0" xfId="0" applyNumberFormat="1" applyFont="1" applyBorder="1" applyAlignment="1">
      <alignment horizontal="center"/>
    </xf>
    <xf numFmtId="9" fontId="4" fillId="0" borderId="0" xfId="0" applyNumberFormat="1" applyFont="1" applyBorder="1"/>
    <xf numFmtId="38" fontId="2" fillId="0" borderId="0" xfId="0" applyNumberFormat="1" applyFont="1" applyBorder="1"/>
    <xf numFmtId="168" fontId="2" fillId="0" borderId="0" xfId="0" applyNumberFormat="1" applyFont="1" applyBorder="1"/>
    <xf numFmtId="169" fontId="2" fillId="0" borderId="0" xfId="0" applyNumberFormat="1" applyFont="1" applyBorder="1" applyAlignment="1">
      <alignment horizontal="center"/>
    </xf>
    <xf numFmtId="167" fontId="2" fillId="0" borderId="0" xfId="0" applyNumberFormat="1" applyFont="1" applyBorder="1" applyAlignment="1">
      <alignment horizontal="right"/>
    </xf>
    <xf numFmtId="9" fontId="2" fillId="0" borderId="0" xfId="0" applyNumberFormat="1" applyFont="1" applyBorder="1" applyAlignment="1">
      <alignment horizontal="center"/>
    </xf>
    <xf numFmtId="9" fontId="2" fillId="0" borderId="0" xfId="0" applyNumberFormat="1" applyFont="1" applyBorder="1"/>
    <xf numFmtId="170" fontId="2" fillId="0" borderId="0" xfId="0" applyNumberFormat="1" applyFont="1" applyBorder="1"/>
    <xf numFmtId="169" fontId="4" fillId="3" borderId="1" xfId="0" applyNumberFormat="1" applyFont="1" applyFill="1" applyAlignment="1">
      <alignment horizontal="left"/>
    </xf>
    <xf numFmtId="171" fontId="2" fillId="3" borderId="1" xfId="0" applyNumberFormat="1" applyFont="1" applyFill="1" applyAlignment="1">
      <alignment horizontal="center"/>
    </xf>
    <xf numFmtId="172" fontId="4" fillId="3" borderId="1" xfId="0" applyNumberFormat="1" applyFont="1" applyFill="1" applyAlignment="1">
      <alignment horizontal="center"/>
    </xf>
    <xf numFmtId="9" fontId="4" fillId="3" borderId="1" xfId="0" applyNumberFormat="1" applyFont="1" applyFill="1" applyAlignment="1">
      <alignment horizontal="center"/>
    </xf>
    <xf numFmtId="169" fontId="4" fillId="0" borderId="0" xfId="0" applyNumberFormat="1" applyFont="1" applyBorder="1" applyAlignment="1">
      <alignment horizontal="left"/>
    </xf>
    <xf numFmtId="171" fontId="2" fillId="0" borderId="0" xfId="0" applyNumberFormat="1" applyFont="1" applyBorder="1" applyAlignment="1">
      <alignment horizontal="center"/>
    </xf>
    <xf numFmtId="172" fontId="4" fillId="0" borderId="0" xfId="0" applyNumberFormat="1" applyFont="1" applyBorder="1" applyAlignment="1">
      <alignment horizontal="center"/>
    </xf>
    <xf numFmtId="40" fontId="2" fillId="0" borderId="0" xfId="0" applyNumberFormat="1" applyFont="1" applyBorder="1"/>
    <xf numFmtId="169" fontId="4" fillId="0" borderId="0" xfId="0" applyNumberFormat="1" applyFont="1" applyBorder="1" applyAlignment="1">
      <alignment horizontal="center"/>
    </xf>
    <xf numFmtId="0" fontId="16" fillId="0" borderId="5" xfId="0" applyFont="1" applyBorder="1"/>
    <xf numFmtId="0" fontId="16" fillId="0" borderId="5" xfId="0" applyFont="1" applyBorder="1" applyAlignment="1">
      <alignment horizontal="center"/>
    </xf>
    <xf numFmtId="169" fontId="17" fillId="0" borderId="0" xfId="0" applyNumberFormat="1" applyFont="1" applyBorder="1" applyAlignment="1">
      <alignment horizontal="left"/>
    </xf>
    <xf numFmtId="171" fontId="16" fillId="0" borderId="0" xfId="0" applyNumberFormat="1" applyFont="1" applyBorder="1" applyAlignment="1">
      <alignment horizontal="center"/>
    </xf>
    <xf numFmtId="0" fontId="17" fillId="0" borderId="0" xfId="0" applyFont="1" applyBorder="1"/>
    <xf numFmtId="172" fontId="17" fillId="0" borderId="0" xfId="0" applyNumberFormat="1" applyFont="1" applyBorder="1" applyAlignment="1">
      <alignment horizontal="center"/>
    </xf>
    <xf numFmtId="173" fontId="18" fillId="0" borderId="0" xfId="0" applyNumberFormat="1" applyFont="1" applyBorder="1"/>
    <xf numFmtId="169" fontId="18" fillId="0" borderId="0" xfId="0" applyNumberFormat="1" applyFont="1" applyBorder="1" applyAlignment="1">
      <alignment horizontal="center"/>
    </xf>
    <xf numFmtId="0" fontId="19" fillId="0" borderId="0" xfId="0" applyFont="1" applyBorder="1"/>
    <xf numFmtId="0" fontId="16" fillId="0" borderId="0" xfId="0" applyFont="1" applyBorder="1"/>
    <xf numFmtId="169" fontId="16" fillId="0" borderId="0" xfId="0" applyNumberFormat="1" applyFont="1" applyBorder="1"/>
    <xf numFmtId="38" fontId="16" fillId="0" borderId="0" xfId="0" applyNumberFormat="1" applyFont="1" applyBorder="1"/>
    <xf numFmtId="172" fontId="16" fillId="0" borderId="0" xfId="0" applyNumberFormat="1" applyFont="1" applyBorder="1" applyAlignment="1">
      <alignment horizontal="center"/>
    </xf>
    <xf numFmtId="0" fontId="20" fillId="0" borderId="0" xfId="0" applyFont="1" applyBorder="1"/>
    <xf numFmtId="174" fontId="4" fillId="0" borderId="0" xfId="0" applyNumberFormat="1" applyFont="1" applyBorder="1" applyAlignment="1">
      <alignment horizontal="center"/>
    </xf>
    <xf numFmtId="4" fontId="4" fillId="0" borderId="0" xfId="0" applyNumberFormat="1" applyFont="1" applyBorder="1" applyAlignment="1">
      <alignment horizontal="center"/>
    </xf>
    <xf numFmtId="172" fontId="2" fillId="0" borderId="0" xfId="0" applyNumberFormat="1" applyFont="1" applyBorder="1" applyAlignment="1">
      <alignment horizontal="center"/>
    </xf>
    <xf numFmtId="174" fontId="2" fillId="0" borderId="0" xfId="0" applyNumberFormat="1" applyFont="1" applyBorder="1" applyAlignment="1">
      <alignment horizontal="center"/>
    </xf>
    <xf numFmtId="4" fontId="2" fillId="0" borderId="0" xfId="0" applyNumberFormat="1" applyFont="1" applyBorder="1" applyAlignment="1">
      <alignment horizontal="center"/>
    </xf>
    <xf numFmtId="4" fontId="4" fillId="3" borderId="1" xfId="0" applyNumberFormat="1" applyFont="1" applyFill="1" applyAlignment="1">
      <alignment horizontal="center"/>
    </xf>
    <xf numFmtId="169" fontId="4" fillId="3" borderId="1" xfId="0" applyNumberFormat="1" applyFont="1" applyFill="1" applyAlignment="1">
      <alignment horizontal="center"/>
    </xf>
    <xf numFmtId="4" fontId="2" fillId="0" borderId="0" xfId="0" applyNumberFormat="1" applyFont="1" applyBorder="1"/>
    <xf numFmtId="175" fontId="2" fillId="0" borderId="0" xfId="0" applyNumberFormat="1" applyFont="1" applyBorder="1" applyAlignment="1">
      <alignment horizontal="center"/>
    </xf>
    <xf numFmtId="172" fontId="20" fillId="3" borderId="1" xfId="0" applyNumberFormat="1" applyFont="1" applyFill="1" applyAlignment="1">
      <alignment horizontal="center"/>
    </xf>
    <xf numFmtId="169" fontId="20" fillId="3" borderId="1" xfId="0" applyNumberFormat="1" applyFont="1" applyFill="1" applyAlignment="1">
      <alignment horizontal="center"/>
    </xf>
    <xf numFmtId="172" fontId="20" fillId="0" borderId="0" xfId="0" applyNumberFormat="1" applyFont="1" applyBorder="1" applyAlignment="1">
      <alignment horizontal="center"/>
    </xf>
    <xf numFmtId="172" fontId="18" fillId="0" borderId="0" xfId="0" applyNumberFormat="1" applyFont="1" applyBorder="1" applyAlignment="1">
      <alignment horizontal="center"/>
    </xf>
    <xf numFmtId="0" fontId="21" fillId="2" borderId="1" xfId="0" applyFont="1" applyFill="1"/>
    <xf numFmtId="0" fontId="22" fillId="2" borderId="1" xfId="0" applyFont="1" applyFill="1"/>
    <xf numFmtId="0" fontId="4" fillId="0" borderId="0" xfId="0" applyFont="1" applyBorder="1" applyAlignment="1">
      <alignment horizontal="right"/>
    </xf>
    <xf numFmtId="0" fontId="23" fillId="0" borderId="0" xfId="0" applyFont="1" applyBorder="1"/>
    <xf numFmtId="0" fontId="23" fillId="0" borderId="0" xfId="0" applyFont="1" applyBorder="1" applyAlignment="1">
      <alignment horizontal="center"/>
    </xf>
    <xf numFmtId="0" fontId="25" fillId="0" borderId="0" xfId="0" applyFont="1" applyBorder="1" applyAlignment="1">
      <alignment horizontal="left"/>
    </xf>
    <xf numFmtId="14" fontId="26" fillId="0" borderId="0" xfId="0" applyNumberFormat="1" applyFont="1" applyBorder="1" applyAlignment="1">
      <alignment horizontal="center"/>
    </xf>
    <xf numFmtId="0" fontId="27" fillId="0" borderId="0" xfId="0" applyFont="1" applyBorder="1" applyAlignment="1">
      <alignment horizontal="right"/>
    </xf>
    <xf numFmtId="14" fontId="4" fillId="0" borderId="0" xfId="0" applyNumberFormat="1" applyFont="1" applyBorder="1" applyAlignment="1">
      <alignment horizontal="center"/>
    </xf>
    <xf numFmtId="0" fontId="4" fillId="0" borderId="0" xfId="0" applyFont="1" applyBorder="1" applyAlignment="1">
      <alignment horizontal="left"/>
    </xf>
    <xf numFmtId="0" fontId="4" fillId="0" borderId="6" xfId="0" applyFont="1" applyBorder="1"/>
    <xf numFmtId="0" fontId="4" fillId="0" borderId="7" xfId="0" applyFont="1" applyBorder="1"/>
    <xf numFmtId="9" fontId="4" fillId="0" borderId="0" xfId="0" applyNumberFormat="1" applyFont="1" applyBorder="1" applyAlignment="1">
      <alignment horizontal="right"/>
    </xf>
    <xf numFmtId="172" fontId="4" fillId="0" borderId="6" xfId="0" applyNumberFormat="1" applyFont="1" applyBorder="1" applyAlignment="1">
      <alignment horizontal="center"/>
    </xf>
    <xf numFmtId="172" fontId="4" fillId="0" borderId="7" xfId="0" applyNumberFormat="1" applyFont="1" applyBorder="1" applyAlignment="1">
      <alignment horizontal="center"/>
    </xf>
    <xf numFmtId="175" fontId="4" fillId="0" borderId="0" xfId="0" applyNumberFormat="1" applyFont="1" applyBorder="1" applyAlignment="1">
      <alignment horizontal="center"/>
    </xf>
    <xf numFmtId="169" fontId="2" fillId="0" borderId="6" xfId="0" applyNumberFormat="1" applyFont="1" applyBorder="1" applyAlignment="1">
      <alignment horizontal="center"/>
    </xf>
    <xf numFmtId="169" fontId="2" fillId="0" borderId="7" xfId="0" applyNumberFormat="1" applyFont="1" applyBorder="1" applyAlignment="1">
      <alignment horizontal="center"/>
    </xf>
    <xf numFmtId="0" fontId="2" fillId="0" borderId="6" xfId="0" applyFont="1" applyBorder="1"/>
    <xf numFmtId="0" fontId="2" fillId="0" borderId="7" xfId="0" applyFont="1" applyBorder="1"/>
    <xf numFmtId="9" fontId="2" fillId="0" borderId="0" xfId="0" applyNumberFormat="1" applyFont="1" applyBorder="1" applyAlignment="1">
      <alignment horizontal="right"/>
    </xf>
    <xf numFmtId="172" fontId="2" fillId="0" borderId="6" xfId="0" applyNumberFormat="1" applyFont="1" applyBorder="1" applyAlignment="1">
      <alignment horizontal="center"/>
    </xf>
    <xf numFmtId="172" fontId="2" fillId="0" borderId="7" xfId="0" applyNumberFormat="1"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172" fontId="4" fillId="3" borderId="8" xfId="0" applyNumberFormat="1" applyFont="1" applyFill="1" applyBorder="1" applyAlignment="1">
      <alignment horizontal="center"/>
    </xf>
    <xf numFmtId="172" fontId="4" fillId="3" borderId="9" xfId="0" applyNumberFormat="1" applyFont="1" applyFill="1" applyBorder="1" applyAlignment="1">
      <alignment horizontal="center"/>
    </xf>
    <xf numFmtId="169" fontId="2" fillId="0" borderId="0" xfId="0" applyNumberFormat="1" applyFont="1" applyBorder="1" applyAlignment="1">
      <alignment horizontal="right"/>
    </xf>
    <xf numFmtId="169" fontId="2" fillId="0" borderId="0" xfId="0" applyNumberFormat="1" applyFont="1" applyBorder="1"/>
    <xf numFmtId="0" fontId="2" fillId="3" borderId="1" xfId="0" applyFont="1" applyFill="1" applyAlignment="1">
      <alignment horizontal="center"/>
    </xf>
    <xf numFmtId="9" fontId="17" fillId="0" borderId="0" xfId="0" applyNumberFormat="1" applyFont="1" applyBorder="1" applyAlignment="1">
      <alignment horizontal="center"/>
    </xf>
    <xf numFmtId="9" fontId="16" fillId="0" borderId="0" xfId="0" applyNumberFormat="1" applyFont="1" applyBorder="1" applyAlignment="1">
      <alignment horizontal="center"/>
    </xf>
    <xf numFmtId="0" fontId="8" fillId="5" borderId="1" xfId="0" applyFont="1" applyFill="1"/>
    <xf numFmtId="0" fontId="2" fillId="6" borderId="1" xfId="0" applyFont="1" applyFill="1"/>
    <xf numFmtId="0" fontId="28" fillId="4" borderId="1" xfId="0" applyFont="1" applyFill="1" applyAlignment="1">
      <alignment horizontal="right"/>
    </xf>
    <xf numFmtId="9" fontId="28" fillId="6" borderId="1" xfId="0" applyNumberFormat="1" applyFont="1" applyFill="1"/>
    <xf numFmtId="0" fontId="28" fillId="6" borderId="1" xfId="0" applyFont="1" applyFill="1"/>
    <xf numFmtId="0" fontId="4" fillId="6" borderId="1" xfId="0" applyFont="1" applyFill="1" applyAlignment="1">
      <alignment horizontal="center"/>
    </xf>
    <xf numFmtId="14" fontId="30" fillId="6" borderId="1" xfId="0" applyNumberFormat="1" applyFont="1" applyFill="1" applyAlignment="1">
      <alignment horizontal="center"/>
    </xf>
    <xf numFmtId="0" fontId="28" fillId="6" borderId="1" xfId="0" applyFont="1" applyFill="1" applyAlignment="1">
      <alignment horizontal="right"/>
    </xf>
    <xf numFmtId="0" fontId="32" fillId="6" borderId="1" xfId="0" applyFont="1" applyFill="1" applyAlignment="1">
      <alignment horizontal="left"/>
    </xf>
    <xf numFmtId="14" fontId="33" fillId="4" borderId="1" xfId="0" applyNumberFormat="1" applyFont="1" applyFill="1" applyAlignment="1">
      <alignment horizontal="center"/>
    </xf>
    <xf numFmtId="173" fontId="28" fillId="6" borderId="1" xfId="0" applyNumberFormat="1" applyFont="1" applyFill="1"/>
    <xf numFmtId="174" fontId="28" fillId="6" borderId="1" xfId="0" applyNumberFormat="1" applyFont="1" applyFill="1"/>
    <xf numFmtId="0" fontId="4" fillId="6" borderId="1" xfId="0" applyFont="1" applyFill="1"/>
    <xf numFmtId="173" fontId="34" fillId="6" borderId="1" xfId="0" applyNumberFormat="1" applyFont="1" applyFill="1"/>
    <xf numFmtId="0" fontId="4" fillId="6" borderId="1" xfId="0" applyFont="1" applyFill="1" applyAlignment="1">
      <alignment horizontal="left"/>
    </xf>
    <xf numFmtId="172" fontId="2" fillId="6" borderId="1" xfId="0" applyNumberFormat="1" applyFont="1" applyFill="1"/>
    <xf numFmtId="14" fontId="28" fillId="4" borderId="1" xfId="0" applyNumberFormat="1" applyFont="1" applyFill="1" applyAlignment="1">
      <alignment horizontal="right"/>
    </xf>
    <xf numFmtId="0" fontId="10" fillId="0" borderId="0" xfId="0" applyFont="1" applyBorder="1"/>
    <xf numFmtId="0" fontId="1" fillId="6" borderId="1" xfId="0" applyFont="1" applyFill="1"/>
    <xf numFmtId="0" fontId="1" fillId="6" borderId="1" xfId="0" applyFont="1" applyFill="1" applyAlignment="1">
      <alignment horizontal="right"/>
    </xf>
    <xf numFmtId="0" fontId="2" fillId="6" borderId="1" xfId="0" applyFont="1" applyFill="1" applyAlignment="1">
      <alignment horizontal="right"/>
    </xf>
    <xf numFmtId="0" fontId="2" fillId="6" borderId="8" xfId="0" applyFont="1" applyFill="1" applyBorder="1" applyAlignment="1">
      <alignment horizontal="right"/>
    </xf>
    <xf numFmtId="0" fontId="2" fillId="6" borderId="9" xfId="0" applyFont="1" applyFill="1" applyBorder="1" applyAlignment="1">
      <alignment horizontal="right"/>
    </xf>
    <xf numFmtId="0" fontId="2" fillId="6" borderId="1" xfId="0" applyFont="1" applyFill="1" applyAlignment="1">
      <alignment horizontal="left"/>
    </xf>
    <xf numFmtId="169" fontId="2" fillId="6" borderId="1" xfId="0" applyNumberFormat="1" applyFont="1" applyFill="1"/>
    <xf numFmtId="173" fontId="2" fillId="0" borderId="0" xfId="0" applyNumberFormat="1" applyFont="1" applyBorder="1"/>
    <xf numFmtId="173" fontId="44" fillId="6" borderId="1" xfId="0" applyNumberFormat="1" applyFont="1" applyFill="1"/>
    <xf numFmtId="173" fontId="47" fillId="6" borderId="1" xfId="0" applyNumberFormat="1" applyFont="1" applyFill="1"/>
    <xf numFmtId="0" fontId="10" fillId="5" borderId="1" xfId="0" applyFont="1" applyFill="1"/>
    <xf numFmtId="173" fontId="50" fillId="6" borderId="1" xfId="0" applyNumberFormat="1" applyFont="1" applyFill="1" applyAlignment="1">
      <alignment horizontal="right"/>
    </xf>
    <xf numFmtId="173" fontId="51" fillId="6" borderId="8" xfId="0" applyNumberFormat="1" applyFont="1" applyFill="1" applyBorder="1" applyAlignment="1">
      <alignment horizontal="right"/>
    </xf>
    <xf numFmtId="173" fontId="52" fillId="6" borderId="9" xfId="0" applyNumberFormat="1" applyFont="1" applyFill="1" applyBorder="1" applyAlignment="1">
      <alignment horizontal="right"/>
    </xf>
    <xf numFmtId="173" fontId="4" fillId="6" borderId="1" xfId="0" applyNumberFormat="1" applyFont="1" applyFill="1"/>
    <xf numFmtId="0" fontId="60" fillId="6" borderId="1" xfId="0" applyFont="1" applyFill="1" applyAlignment="1">
      <alignment horizontal="center"/>
    </xf>
    <xf numFmtId="169" fontId="28" fillId="0" borderId="0" xfId="0" applyNumberFormat="1" applyFont="1" applyBorder="1" applyAlignment="1">
      <alignment horizontal="right"/>
    </xf>
    <xf numFmtId="0" fontId="28" fillId="4" borderId="1" xfId="0" applyFont="1" applyFill="1"/>
    <xf numFmtId="169" fontId="28" fillId="4" borderId="1" xfId="0" applyNumberFormat="1" applyFont="1" applyFill="1"/>
    <xf numFmtId="169" fontId="28" fillId="4" borderId="1" xfId="0" applyNumberFormat="1" applyFont="1" applyFill="1" applyAlignment="1">
      <alignment horizontal="right"/>
    </xf>
    <xf numFmtId="0" fontId="2" fillId="5" borderId="1" xfId="0" applyFont="1" applyFill="1"/>
    <xf numFmtId="0" fontId="63" fillId="4" borderId="1" xfId="0" applyFont="1" applyFill="1" applyAlignment="1">
      <alignment horizontal="right"/>
    </xf>
    <xf numFmtId="174" fontId="63" fillId="4" borderId="1" xfId="0" applyNumberFormat="1" applyFont="1" applyFill="1"/>
    <xf numFmtId="0" fontId="0" fillId="0" borderId="0" xfId="0" applyBorder="1"/>
    <xf numFmtId="0" fontId="13" fillId="0" borderId="0" xfId="0" applyFont="1" applyBorder="1" applyAlignment="1">
      <alignment horizontal="center"/>
    </xf>
    <xf numFmtId="0" fontId="65" fillId="7" borderId="14" xfId="0" applyFont="1" applyFill="1" applyBorder="1" applyAlignment="1">
      <alignment vertical="top" wrapText="1"/>
    </xf>
    <xf numFmtId="0" fontId="64" fillId="7" borderId="14" xfId="0" applyFont="1" applyFill="1" applyBorder="1" applyAlignment="1">
      <alignment vertical="top" wrapText="1"/>
    </xf>
    <xf numFmtId="43" fontId="8" fillId="2" borderId="1" xfId="0" applyNumberFormat="1" applyFont="1" applyFill="1"/>
    <xf numFmtId="176" fontId="24" fillId="0" borderId="0" xfId="0" applyNumberFormat="1" applyFont="1" applyBorder="1" applyAlignment="1">
      <alignment horizontal="center"/>
    </xf>
    <xf numFmtId="177" fontId="4" fillId="0" borderId="0" xfId="0" applyNumberFormat="1" applyFont="1" applyBorder="1" applyAlignment="1">
      <alignment horizontal="right"/>
    </xf>
    <xf numFmtId="177" fontId="2" fillId="0" borderId="0" xfId="0" applyNumberFormat="1" applyFont="1" applyBorder="1" applyAlignment="1">
      <alignment horizontal="right"/>
    </xf>
    <xf numFmtId="178" fontId="2" fillId="0" borderId="0" xfId="0" applyNumberFormat="1" applyFont="1" applyBorder="1" applyAlignment="1">
      <alignment horizontal="right"/>
    </xf>
    <xf numFmtId="179" fontId="16" fillId="0" borderId="0" xfId="0" applyNumberFormat="1" applyFont="1" applyBorder="1" applyAlignment="1">
      <alignment horizontal="center"/>
    </xf>
    <xf numFmtId="41" fontId="2" fillId="0" borderId="0" xfId="0" applyNumberFormat="1" applyFont="1" applyBorder="1"/>
    <xf numFmtId="180" fontId="2" fillId="0" borderId="0" xfId="0" applyNumberFormat="1" applyFont="1" applyBorder="1"/>
    <xf numFmtId="181" fontId="2" fillId="0" borderId="0" xfId="0" applyNumberFormat="1" applyFont="1" applyBorder="1"/>
    <xf numFmtId="182" fontId="29" fillId="6" borderId="1" xfId="0" applyNumberFormat="1" applyFont="1" applyFill="1" applyAlignment="1">
      <alignment horizontal="center"/>
    </xf>
    <xf numFmtId="183" fontId="28" fillId="6" borderId="1" xfId="0" applyNumberFormat="1" applyFont="1" applyFill="1"/>
    <xf numFmtId="184" fontId="63" fillId="4" borderId="1" xfId="0" applyNumberFormat="1" applyFont="1" applyFill="1" applyAlignment="1">
      <alignment horizontal="right"/>
    </xf>
    <xf numFmtId="182" fontId="63" fillId="6" borderId="1" xfId="0" applyNumberFormat="1" applyFont="1" applyFill="1" applyAlignment="1">
      <alignment horizontal="center"/>
    </xf>
    <xf numFmtId="185" fontId="63" fillId="4" borderId="1" xfId="0" applyNumberFormat="1" applyFont="1" applyFill="1" applyAlignment="1">
      <alignment horizontal="right"/>
    </xf>
    <xf numFmtId="184" fontId="63" fillId="4" borderId="10" xfId="0" applyNumberFormat="1" applyFont="1" applyFill="1" applyBorder="1" applyAlignment="1">
      <alignment horizontal="right"/>
    </xf>
    <xf numFmtId="184" fontId="63" fillId="4" borderId="11" xfId="0" applyNumberFormat="1" applyFont="1" applyFill="1" applyBorder="1" applyAlignment="1">
      <alignment horizontal="right"/>
    </xf>
    <xf numFmtId="184" fontId="4" fillId="6" borderId="1" xfId="0" applyNumberFormat="1" applyFont="1" applyFill="1" applyAlignment="1">
      <alignment horizontal="right"/>
    </xf>
    <xf numFmtId="185" fontId="63" fillId="4" borderId="8" xfId="0" applyNumberFormat="1" applyFont="1" applyFill="1" applyBorder="1" applyAlignment="1">
      <alignment horizontal="right"/>
    </xf>
    <xf numFmtId="185" fontId="63" fillId="4" borderId="9" xfId="0" applyNumberFormat="1" applyFont="1" applyFill="1" applyBorder="1" applyAlignment="1">
      <alignment horizontal="right"/>
    </xf>
    <xf numFmtId="185" fontId="36" fillId="6" borderId="1" xfId="0" applyNumberFormat="1" applyFont="1" applyFill="1" applyAlignment="1">
      <alignment horizontal="right"/>
    </xf>
    <xf numFmtId="41" fontId="37" fillId="0" borderId="0" xfId="0" applyNumberFormat="1" applyFont="1" applyBorder="1"/>
    <xf numFmtId="183" fontId="4" fillId="6" borderId="1" xfId="0" applyNumberFormat="1" applyFont="1" applyFill="1"/>
    <xf numFmtId="184" fontId="4" fillId="6" borderId="8" xfId="0" applyNumberFormat="1" applyFont="1" applyFill="1" applyBorder="1" applyAlignment="1">
      <alignment horizontal="right"/>
    </xf>
    <xf numFmtId="184" fontId="4" fillId="6" borderId="9" xfId="0" applyNumberFormat="1" applyFont="1" applyFill="1" applyBorder="1" applyAlignment="1">
      <alignment horizontal="right"/>
    </xf>
    <xf numFmtId="43" fontId="28" fillId="6" borderId="1" xfId="0" applyNumberFormat="1" applyFont="1" applyFill="1"/>
    <xf numFmtId="178" fontId="63" fillId="4" borderId="1" xfId="0" applyNumberFormat="1" applyFont="1" applyFill="1"/>
    <xf numFmtId="185" fontId="2" fillId="6" borderId="1" xfId="0" applyNumberFormat="1" applyFont="1" applyFill="1" applyAlignment="1">
      <alignment horizontal="right"/>
    </xf>
    <xf numFmtId="186" fontId="63" fillId="4" borderId="1" xfId="0" applyNumberFormat="1" applyFont="1" applyFill="1"/>
    <xf numFmtId="187" fontId="63" fillId="4" borderId="1" xfId="0" applyNumberFormat="1" applyFont="1" applyFill="1" applyAlignment="1">
      <alignment horizontal="right"/>
    </xf>
    <xf numFmtId="187" fontId="63" fillId="4" borderId="8" xfId="0" applyNumberFormat="1" applyFont="1" applyFill="1" applyBorder="1" applyAlignment="1">
      <alignment horizontal="right"/>
    </xf>
    <xf numFmtId="187" fontId="63" fillId="4" borderId="9" xfId="0" applyNumberFormat="1" applyFont="1" applyFill="1" applyBorder="1" applyAlignment="1">
      <alignment horizontal="right"/>
    </xf>
    <xf numFmtId="187" fontId="39" fillId="6" borderId="1" xfId="0" applyNumberFormat="1" applyFont="1" applyFill="1" applyAlignment="1">
      <alignment horizontal="right"/>
    </xf>
    <xf numFmtId="177" fontId="63" fillId="4" borderId="1" xfId="0" applyNumberFormat="1" applyFont="1" applyFill="1" applyAlignment="1">
      <alignment horizontal="right"/>
    </xf>
    <xf numFmtId="184" fontId="40" fillId="6" borderId="1" xfId="0" applyNumberFormat="1" applyFont="1" applyFill="1" applyAlignment="1">
      <alignment horizontal="right"/>
    </xf>
    <xf numFmtId="186" fontId="1" fillId="6" borderId="1" xfId="0" applyNumberFormat="1" applyFont="1" applyFill="1" applyAlignment="1">
      <alignment horizontal="right"/>
    </xf>
    <xf numFmtId="188" fontId="28" fillId="4" borderId="1" xfId="0" applyNumberFormat="1" applyFont="1" applyFill="1" applyAlignment="1">
      <alignment horizontal="right"/>
    </xf>
    <xf numFmtId="178" fontId="63" fillId="4" borderId="1" xfId="0" applyNumberFormat="1" applyFont="1" applyFill="1" applyAlignment="1">
      <alignment horizontal="right"/>
    </xf>
    <xf numFmtId="187" fontId="2" fillId="6" borderId="1" xfId="0" applyNumberFormat="1" applyFont="1" applyFill="1" applyAlignment="1">
      <alignment horizontal="right"/>
    </xf>
    <xf numFmtId="184" fontId="41" fillId="6" borderId="8" xfId="0" applyNumberFormat="1" applyFont="1" applyFill="1" applyBorder="1" applyAlignment="1">
      <alignment horizontal="right"/>
    </xf>
    <xf numFmtId="184" fontId="42" fillId="6" borderId="9" xfId="0" applyNumberFormat="1" applyFont="1" applyFill="1" applyBorder="1" applyAlignment="1">
      <alignment horizontal="right"/>
    </xf>
    <xf numFmtId="186" fontId="1" fillId="6" borderId="8" xfId="0" applyNumberFormat="1" applyFont="1" applyFill="1" applyBorder="1" applyAlignment="1">
      <alignment horizontal="right"/>
    </xf>
    <xf numFmtId="186" fontId="1" fillId="6" borderId="9" xfId="0" applyNumberFormat="1" applyFont="1" applyFill="1" applyBorder="1" applyAlignment="1">
      <alignment horizontal="right"/>
    </xf>
    <xf numFmtId="189" fontId="43" fillId="6" borderId="1" xfId="0" applyNumberFormat="1" applyFont="1" applyFill="1"/>
    <xf numFmtId="184" fontId="4" fillId="6" borderId="1" xfId="0" applyNumberFormat="1" applyFont="1" applyFill="1"/>
    <xf numFmtId="177" fontId="2" fillId="6" borderId="1" xfId="0" applyNumberFormat="1" applyFont="1" applyFill="1" applyAlignment="1">
      <alignment horizontal="right"/>
    </xf>
    <xf numFmtId="177" fontId="2" fillId="6" borderId="12" xfId="0" applyNumberFormat="1" applyFont="1" applyFill="1" applyBorder="1" applyAlignment="1">
      <alignment horizontal="right"/>
    </xf>
    <xf numFmtId="177" fontId="2" fillId="6" borderId="13" xfId="0" applyNumberFormat="1" applyFont="1" applyFill="1" applyBorder="1" applyAlignment="1">
      <alignment horizontal="right"/>
    </xf>
    <xf numFmtId="185" fontId="2" fillId="6" borderId="1" xfId="0" applyNumberFormat="1" applyFont="1" applyFill="1"/>
    <xf numFmtId="187" fontId="45" fillId="6" borderId="1" xfId="0" applyNumberFormat="1" applyFont="1" applyFill="1"/>
    <xf numFmtId="184" fontId="2" fillId="6" borderId="1" xfId="0" applyNumberFormat="1" applyFont="1" applyFill="1" applyAlignment="1">
      <alignment horizontal="right"/>
    </xf>
    <xf numFmtId="184" fontId="2" fillId="6" borderId="10" xfId="0" applyNumberFormat="1" applyFont="1" applyFill="1" applyBorder="1" applyAlignment="1">
      <alignment horizontal="right"/>
    </xf>
    <xf numFmtId="184" fontId="2" fillId="6" borderId="11" xfId="0" applyNumberFormat="1" applyFont="1" applyFill="1" applyBorder="1" applyAlignment="1">
      <alignment horizontal="right"/>
    </xf>
    <xf numFmtId="43" fontId="2" fillId="0" borderId="0" xfId="0" applyNumberFormat="1" applyFont="1" applyBorder="1"/>
    <xf numFmtId="184" fontId="46" fillId="6" borderId="1" xfId="0" applyNumberFormat="1" applyFont="1" applyFill="1"/>
    <xf numFmtId="185" fontId="35" fillId="4" borderId="1" xfId="0" applyNumberFormat="1" applyFont="1" applyFill="1" applyAlignment="1">
      <alignment horizontal="right"/>
    </xf>
    <xf numFmtId="183" fontId="2" fillId="6" borderId="1" xfId="0" applyNumberFormat="1" applyFont="1" applyFill="1"/>
    <xf numFmtId="190" fontId="1" fillId="6" borderId="1" xfId="0" applyNumberFormat="1" applyFont="1" applyFill="1"/>
    <xf numFmtId="191" fontId="48" fillId="6" borderId="1" xfId="0" applyNumberFormat="1" applyFont="1" applyFill="1" applyAlignment="1">
      <alignment horizontal="center"/>
    </xf>
    <xf numFmtId="184" fontId="2" fillId="6" borderId="8" xfId="0" applyNumberFormat="1" applyFont="1" applyFill="1" applyBorder="1" applyAlignment="1">
      <alignment horizontal="right"/>
    </xf>
    <xf numFmtId="184" fontId="2" fillId="6" borderId="9" xfId="0" applyNumberFormat="1" applyFont="1" applyFill="1" applyBorder="1" applyAlignment="1">
      <alignment horizontal="right"/>
    </xf>
    <xf numFmtId="192" fontId="2" fillId="6" borderId="1" xfId="0" applyNumberFormat="1" applyFont="1" applyFill="1" applyAlignment="1">
      <alignment horizontal="right"/>
    </xf>
    <xf numFmtId="187" fontId="2" fillId="6" borderId="8" xfId="0" applyNumberFormat="1" applyFont="1" applyFill="1" applyBorder="1" applyAlignment="1">
      <alignment horizontal="right"/>
    </xf>
    <xf numFmtId="187" fontId="2" fillId="6" borderId="9" xfId="0" applyNumberFormat="1" applyFont="1" applyFill="1" applyBorder="1" applyAlignment="1">
      <alignment horizontal="right"/>
    </xf>
    <xf numFmtId="189" fontId="63" fillId="4" borderId="1" xfId="0" applyNumberFormat="1" applyFont="1" applyFill="1"/>
    <xf numFmtId="187" fontId="38" fillId="4" borderId="1" xfId="0" applyNumberFormat="1" applyFont="1" applyFill="1" applyAlignment="1">
      <alignment horizontal="right"/>
    </xf>
    <xf numFmtId="189" fontId="2" fillId="6" borderId="1" xfId="0" applyNumberFormat="1" applyFont="1" applyFill="1"/>
    <xf numFmtId="193" fontId="49" fillId="6" borderId="1" xfId="0" applyNumberFormat="1" applyFont="1" applyFill="1"/>
    <xf numFmtId="189" fontId="4" fillId="6" borderId="1" xfId="0" applyNumberFormat="1" applyFont="1" applyFill="1"/>
    <xf numFmtId="194" fontId="2" fillId="0" borderId="0" xfId="0" applyNumberFormat="1" applyFont="1" applyBorder="1"/>
    <xf numFmtId="189" fontId="53" fillId="6" borderId="1" xfId="0" applyNumberFormat="1" applyFont="1" applyFill="1"/>
    <xf numFmtId="189" fontId="28" fillId="4" borderId="1" xfId="0" applyNumberFormat="1" applyFont="1" applyFill="1"/>
    <xf numFmtId="177" fontId="28" fillId="4" borderId="1" xfId="0" applyNumberFormat="1" applyFont="1" applyFill="1"/>
    <xf numFmtId="184" fontId="2" fillId="6" borderId="1" xfId="0" applyNumberFormat="1" applyFont="1" applyFill="1"/>
    <xf numFmtId="178" fontId="28" fillId="4" borderId="1" xfId="0" applyNumberFormat="1" applyFont="1" applyFill="1"/>
    <xf numFmtId="195" fontId="2" fillId="6" borderId="1" xfId="0" applyNumberFormat="1" applyFont="1" applyFill="1"/>
    <xf numFmtId="187" fontId="28" fillId="4" borderId="1" xfId="0" applyNumberFormat="1" applyFont="1" applyFill="1" applyAlignment="1">
      <alignment horizontal="right"/>
    </xf>
    <xf numFmtId="187" fontId="55" fillId="6" borderId="8" xfId="0" applyNumberFormat="1" applyFont="1" applyFill="1" applyBorder="1" applyAlignment="1">
      <alignment horizontal="right"/>
    </xf>
    <xf numFmtId="187" fontId="56" fillId="6" borderId="9" xfId="0" applyNumberFormat="1" applyFont="1" applyFill="1" applyBorder="1" applyAlignment="1">
      <alignment horizontal="right"/>
    </xf>
    <xf numFmtId="189" fontId="57" fillId="4" borderId="1" xfId="0" applyNumberFormat="1" applyFont="1" applyFill="1"/>
    <xf numFmtId="178" fontId="58" fillId="4" borderId="1" xfId="0" applyNumberFormat="1" applyFont="1" applyFill="1"/>
    <xf numFmtId="195" fontId="59" fillId="6" borderId="1" xfId="0" applyNumberFormat="1" applyFont="1" applyFill="1"/>
    <xf numFmtId="196" fontId="2" fillId="6" borderId="1" xfId="0" applyNumberFormat="1" applyFont="1" applyFill="1" applyAlignment="1">
      <alignment horizontal="right"/>
    </xf>
    <xf numFmtId="184" fontId="28" fillId="4" borderId="1" xfId="0" applyNumberFormat="1" applyFont="1" applyFill="1"/>
    <xf numFmtId="185" fontId="63" fillId="4" borderId="10" xfId="0" applyNumberFormat="1" applyFont="1" applyFill="1" applyBorder="1" applyAlignment="1">
      <alignment horizontal="right"/>
    </xf>
    <xf numFmtId="185" fontId="63" fillId="4" borderId="11" xfId="0" applyNumberFormat="1" applyFont="1" applyFill="1" applyBorder="1" applyAlignment="1">
      <alignment horizontal="right"/>
    </xf>
    <xf numFmtId="195" fontId="28" fillId="4" borderId="1" xfId="0" applyNumberFormat="1" applyFont="1" applyFill="1"/>
    <xf numFmtId="197" fontId="1" fillId="6" borderId="1" xfId="0" applyNumberFormat="1" applyFont="1" applyFill="1" applyAlignment="1">
      <alignment horizontal="right"/>
    </xf>
    <xf numFmtId="197" fontId="1" fillId="6" borderId="8" xfId="0" applyNumberFormat="1" applyFont="1" applyFill="1" applyBorder="1" applyAlignment="1">
      <alignment horizontal="right"/>
    </xf>
    <xf numFmtId="197" fontId="1" fillId="6" borderId="9" xfId="0" applyNumberFormat="1" applyFont="1" applyFill="1" applyBorder="1" applyAlignment="1">
      <alignment horizontal="right"/>
    </xf>
    <xf numFmtId="197" fontId="1" fillId="6" borderId="12" xfId="0" applyNumberFormat="1" applyFont="1" applyFill="1" applyBorder="1" applyAlignment="1">
      <alignment horizontal="right"/>
    </xf>
    <xf numFmtId="197" fontId="1" fillId="6" borderId="13" xfId="0" applyNumberFormat="1" applyFont="1" applyFill="1" applyBorder="1" applyAlignment="1">
      <alignment horizontal="right"/>
    </xf>
    <xf numFmtId="195" fontId="61" fillId="4" borderId="1" xfId="0" applyNumberFormat="1" applyFont="1" applyFill="1"/>
    <xf numFmtId="198" fontId="62" fillId="6" borderId="1" xfId="0" applyNumberFormat="1" applyFont="1" applyFill="1"/>
    <xf numFmtId="199" fontId="28" fillId="0" borderId="0" xfId="0" applyNumberFormat="1" applyFont="1" applyBorder="1" applyAlignment="1">
      <alignment horizontal="right"/>
    </xf>
    <xf numFmtId="186" fontId="63" fillId="4" borderId="1" xfId="0" applyNumberFormat="1" applyFont="1" applyFill="1" applyAlignment="1">
      <alignment horizontal="right"/>
    </xf>
    <xf numFmtId="0" fontId="65" fillId="8" borderId="14" xfId="0" applyFont="1" applyFill="1" applyBorder="1" applyAlignment="1">
      <alignment vertical="top" wrapText="1"/>
    </xf>
    <xf numFmtId="0" fontId="64" fillId="8" borderId="14" xfId="0" applyFont="1" applyFill="1" applyBorder="1" applyAlignment="1">
      <alignment vertical="top" wrapText="1"/>
    </xf>
    <xf numFmtId="172" fontId="67" fillId="9" borderId="8" xfId="0" applyNumberFormat="1" applyFont="1" applyFill="1" applyBorder="1" applyAlignment="1">
      <alignment horizontal="center"/>
    </xf>
    <xf numFmtId="172" fontId="67" fillId="9" borderId="1" xfId="0" applyNumberFormat="1" applyFont="1" applyFill="1" applyAlignment="1">
      <alignment horizontal="center"/>
    </xf>
    <xf numFmtId="172" fontId="67" fillId="9" borderId="9" xfId="0" applyNumberFormat="1" applyFont="1" applyFill="1" applyBorder="1" applyAlignment="1">
      <alignment horizontal="center"/>
    </xf>
    <xf numFmtId="169" fontId="67" fillId="9" borderId="1" xfId="0" applyNumberFormat="1" applyFont="1" applyFill="1" applyAlignment="1">
      <alignment horizontal="left"/>
    </xf>
    <xf numFmtId="0" fontId="66" fillId="0" borderId="15" xfId="0" applyFont="1" applyBorder="1" applyAlignment="1">
      <alignment vertical="top" wrapText="1"/>
    </xf>
    <xf numFmtId="0" fontId="69" fillId="11" borderId="15" xfId="0" applyFont="1" applyFill="1" applyBorder="1" applyAlignment="1">
      <alignment vertical="top" wrapText="1"/>
    </xf>
    <xf numFmtId="0" fontId="69" fillId="0" borderId="15" xfId="0" applyFont="1" applyBorder="1" applyAlignment="1">
      <alignment vertical="top" wrapText="1"/>
    </xf>
    <xf numFmtId="0" fontId="69" fillId="12" borderId="15" xfId="0" applyFont="1" applyFill="1" applyBorder="1" applyAlignment="1">
      <alignment vertical="top" wrapText="1"/>
    </xf>
    <xf numFmtId="0" fontId="66" fillId="13" borderId="15" xfId="0" applyFont="1" applyFill="1" applyBorder="1" applyAlignment="1">
      <alignment vertical="top" wrapText="1"/>
    </xf>
    <xf numFmtId="0" fontId="68" fillId="10" borderId="15" xfId="0" applyFont="1" applyFill="1" applyBorder="1" applyAlignment="1">
      <alignment horizontal="center" vertical="top" wrapText="1"/>
    </xf>
    <xf numFmtId="0" fontId="3" fillId="2" borderId="1" xfId="0" applyFont="1" applyFill="1" applyAlignment="1">
      <alignment horizontal="left"/>
    </xf>
    <xf numFmtId="0" fontId="0" fillId="0" borderId="0" xfId="0" applyBorder="1"/>
    <xf numFmtId="0" fontId="12" fillId="2" borderId="1" xfId="0" applyFont="1" applyFill="1" applyAlignment="1">
      <alignment horizontal="center"/>
    </xf>
    <xf numFmtId="0" fontId="15" fillId="2" borderId="1" xfId="0" applyFont="1" applyFill="1" applyAlignment="1">
      <alignment horizontal="left"/>
    </xf>
    <xf numFmtId="0" fontId="13" fillId="0" borderId="1" xfId="0" applyFont="1" applyAlignment="1">
      <alignment horizontal="center"/>
    </xf>
    <xf numFmtId="0" fontId="54" fillId="6" borderId="1" xfId="0" applyFont="1" applyFill="1" applyAlignment="1">
      <alignment horizontal="left"/>
    </xf>
    <xf numFmtId="0" fontId="63" fillId="4" borderId="1" xfId="0" applyFont="1" applyFill="1" applyAlignment="1">
      <alignment horizontal="left" vertical="top" wrapText="1"/>
    </xf>
    <xf numFmtId="0" fontId="31" fillId="6" borderId="1" xfId="0" applyFont="1" applyFill="1" applyAlignment="1">
      <alignment horizontal="center"/>
    </xf>
    <xf numFmtId="0" fontId="68" fillId="10" borderId="15"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showGridLines="0" tabSelected="1" workbookViewId="0">
      <pane ySplit="3" topLeftCell="A4" activePane="bottomLeft" state="frozen"/>
      <selection pane="bottomLeft" sqref="A1:D1"/>
    </sheetView>
  </sheetViews>
  <sheetFormatPr defaultRowHeight="12.75" x14ac:dyDescent="0.2"/>
  <cols>
    <col min="1" max="1" width="24.7109375" customWidth="1"/>
    <col min="2" max="2" width="30.7109375" customWidth="1"/>
    <col min="3" max="3" width="28.7109375" customWidth="1"/>
    <col min="4" max="4" width="92.7109375" customWidth="1"/>
  </cols>
  <sheetData>
    <row r="1" spans="1:4" x14ac:dyDescent="0.2">
      <c r="A1" s="261" t="s">
        <v>0</v>
      </c>
      <c r="B1" s="261"/>
      <c r="C1" s="261"/>
      <c r="D1" s="261"/>
    </row>
    <row r="2" spans="1:4" x14ac:dyDescent="0.2">
      <c r="A2" s="256"/>
      <c r="B2" s="256"/>
      <c r="C2" s="256"/>
      <c r="D2" s="256"/>
    </row>
    <row r="3" spans="1:4" x14ac:dyDescent="0.2">
      <c r="A3" s="257" t="s">
        <v>1</v>
      </c>
      <c r="B3" s="257" t="s">
        <v>2</v>
      </c>
      <c r="C3" s="257" t="s">
        <v>3</v>
      </c>
      <c r="D3" s="257" t="s">
        <v>4</v>
      </c>
    </row>
    <row r="4" spans="1:4" ht="25.5" x14ac:dyDescent="0.2">
      <c r="A4" s="258" t="s">
        <v>5</v>
      </c>
      <c r="B4" s="256" t="s">
        <v>6</v>
      </c>
      <c r="C4" s="259" t="s">
        <v>262</v>
      </c>
      <c r="D4" s="260" t="s">
        <v>268</v>
      </c>
    </row>
    <row r="5" spans="1:4" x14ac:dyDescent="0.2">
      <c r="A5" s="258" t="s">
        <v>7</v>
      </c>
      <c r="B5" s="256" t="s">
        <v>8</v>
      </c>
      <c r="C5" s="259" t="s">
        <v>9</v>
      </c>
      <c r="D5" s="260" t="s">
        <v>269</v>
      </c>
    </row>
    <row r="6" spans="1:4" ht="25.5" x14ac:dyDescent="0.2">
      <c r="A6" s="258" t="s">
        <v>10</v>
      </c>
      <c r="B6" s="256" t="s">
        <v>263</v>
      </c>
      <c r="C6" s="259" t="s">
        <v>270</v>
      </c>
      <c r="D6" s="260" t="s">
        <v>271</v>
      </c>
    </row>
    <row r="7" spans="1:4" ht="25.5" x14ac:dyDescent="0.2">
      <c r="A7" s="258" t="s">
        <v>272</v>
      </c>
      <c r="B7" s="256" t="s">
        <v>273</v>
      </c>
      <c r="C7" s="259" t="s">
        <v>274</v>
      </c>
      <c r="D7" s="260" t="s">
        <v>275</v>
      </c>
    </row>
    <row r="8" spans="1:4" ht="25.5" x14ac:dyDescent="0.2">
      <c r="A8" s="258" t="s">
        <v>276</v>
      </c>
      <c r="B8" s="256" t="s">
        <v>277</v>
      </c>
      <c r="C8" s="259" t="s">
        <v>278</v>
      </c>
      <c r="D8" s="260" t="s">
        <v>279</v>
      </c>
    </row>
    <row r="9" spans="1:4" x14ac:dyDescent="0.2">
      <c r="A9" s="258" t="s">
        <v>11</v>
      </c>
      <c r="B9" s="256" t="s">
        <v>12</v>
      </c>
      <c r="C9" s="259" t="s">
        <v>13</v>
      </c>
      <c r="D9" s="260" t="s">
        <v>280</v>
      </c>
    </row>
  </sheetData>
  <mergeCells count="1">
    <mergeCell ref="A1:D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Kỹ thương Việt Nam (HOSE:TCB)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623634271</v>
      </c>
      <c r="T9" s="168">
        <v>757118751</v>
      </c>
      <c r="U9" s="110"/>
      <c r="V9" s="2"/>
      <c r="W9" s="2"/>
      <c r="X9" s="2"/>
      <c r="Y9" s="2"/>
      <c r="Z9" s="2"/>
    </row>
    <row r="10" spans="1:26" ht="15" customHeight="1" x14ac:dyDescent="0.2">
      <c r="A10" s="24"/>
      <c r="B10" s="111" t="s">
        <v>107</v>
      </c>
      <c r="C10" s="111"/>
      <c r="D10" s="121"/>
      <c r="E10" s="150">
        <v>46022</v>
      </c>
      <c r="F10" s="2"/>
      <c r="G10" s="122" t="s">
        <v>23</v>
      </c>
      <c r="H10" s="122"/>
      <c r="I10" s="166">
        <v>40061092</v>
      </c>
      <c r="J10" s="166">
        <v>46990397</v>
      </c>
      <c r="K10" s="166">
        <v>53391125</v>
      </c>
      <c r="L10" s="169">
        <v>0</v>
      </c>
      <c r="M10" s="170">
        <v>0</v>
      </c>
      <c r="N10" s="171">
        <f>K10+M10-L10</f>
        <v>53391125</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148623636</v>
      </c>
      <c r="T11" s="168">
        <v>145526404</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40061092</v>
      </c>
      <c r="J12" s="171">
        <f t="shared" si="0"/>
        <v>46990397</v>
      </c>
      <c r="K12" s="171">
        <f t="shared" si="0"/>
        <v>53391125</v>
      </c>
      <c r="L12" s="177">
        <f t="shared" si="0"/>
        <v>0</v>
      </c>
      <c r="M12" s="178">
        <f t="shared" si="0"/>
        <v>0</v>
      </c>
      <c r="N12" s="171">
        <f t="shared" si="0"/>
        <v>53391125</v>
      </c>
      <c r="O12" s="2"/>
      <c r="P12" s="124" t="s">
        <v>115</v>
      </c>
      <c r="Q12" s="120"/>
      <c r="R12" s="120"/>
      <c r="S12" s="171">
        <f>SUM(S8:S11)</f>
        <v>772257907</v>
      </c>
      <c r="T12" s="171">
        <f>SUM(T8:T11)</f>
        <v>902645155</v>
      </c>
      <c r="U12" s="110"/>
      <c r="V12" s="2"/>
      <c r="W12" s="2"/>
      <c r="X12" s="2"/>
      <c r="Y12" s="2"/>
      <c r="Z12" s="2"/>
    </row>
    <row r="13" spans="1:26" ht="12.75" customHeight="1" x14ac:dyDescent="0.2">
      <c r="A13" s="24"/>
      <c r="B13" s="111" t="s">
        <v>116</v>
      </c>
      <c r="C13" s="111"/>
      <c r="D13" s="179"/>
      <c r="E13" s="180">
        <v>1</v>
      </c>
      <c r="F13" s="2"/>
      <c r="G13" s="111" t="s">
        <v>117</v>
      </c>
      <c r="H13" s="125"/>
      <c r="I13" s="168">
        <v>-13251796</v>
      </c>
      <c r="J13" s="168">
        <v>-15369735</v>
      </c>
      <c r="K13" s="168">
        <v>-16432434</v>
      </c>
      <c r="L13" s="172">
        <v>0</v>
      </c>
      <c r="M13" s="173">
        <v>0</v>
      </c>
      <c r="N13" s="181">
        <f>K13+M13-L13</f>
        <v>-16432434</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26503592</v>
      </c>
      <c r="J14" s="183">
        <v>30739470</v>
      </c>
      <c r="K14" s="183">
        <v>32864868</v>
      </c>
      <c r="L14" s="184">
        <v>0</v>
      </c>
      <c r="M14" s="185">
        <v>0</v>
      </c>
      <c r="N14" s="186">
        <f>K14+M14-L14</f>
        <v>32864868</v>
      </c>
      <c r="O14" s="2"/>
      <c r="P14" s="111" t="s">
        <v>120</v>
      </c>
      <c r="Q14" s="123"/>
      <c r="R14" s="123"/>
      <c r="S14" s="168">
        <v>12466885</v>
      </c>
      <c r="T14" s="168">
        <v>12122934</v>
      </c>
      <c r="U14" s="110"/>
      <c r="V14" s="2"/>
      <c r="W14" s="2"/>
      <c r="X14" s="2"/>
      <c r="Y14" s="2"/>
      <c r="Z14" s="2"/>
    </row>
    <row r="15" spans="1:26" ht="12.75" customHeight="1" x14ac:dyDescent="0.2">
      <c r="A15" s="24"/>
      <c r="B15" s="2"/>
      <c r="C15" s="2"/>
      <c r="D15" s="2"/>
      <c r="E15" s="2"/>
      <c r="F15" s="2"/>
      <c r="G15" s="122" t="s">
        <v>121</v>
      </c>
      <c r="H15" s="125"/>
      <c r="I15" s="171">
        <f t="shared" ref="I15:N15" si="1">I12-SUM(I13:I14)</f>
        <v>26809296</v>
      </c>
      <c r="J15" s="171">
        <f t="shared" si="1"/>
        <v>31620662</v>
      </c>
      <c r="K15" s="171">
        <f t="shared" si="1"/>
        <v>36958691</v>
      </c>
      <c r="L15" s="177">
        <f t="shared" si="1"/>
        <v>0</v>
      </c>
      <c r="M15" s="178">
        <f t="shared" si="1"/>
        <v>0</v>
      </c>
      <c r="N15" s="171">
        <f t="shared" si="1"/>
        <v>36958691</v>
      </c>
      <c r="O15" s="2"/>
      <c r="P15" s="111" t="s">
        <v>122</v>
      </c>
      <c r="Q15" s="120"/>
      <c r="R15" s="120"/>
      <c r="S15" s="168">
        <v>5890186</v>
      </c>
      <c r="T15" s="168">
        <v>5779202</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130445648</v>
      </c>
      <c r="T16" s="168">
        <v>185273253</v>
      </c>
      <c r="U16" s="110"/>
      <c r="V16" s="2"/>
      <c r="W16" s="2"/>
      <c r="X16" s="2"/>
      <c r="Y16" s="2"/>
      <c r="Z16" s="2"/>
    </row>
    <row r="17" spans="1:26" ht="15" customHeight="1" x14ac:dyDescent="0.2">
      <c r="A17" s="24"/>
      <c r="B17" s="111" t="s">
        <v>126</v>
      </c>
      <c r="C17" s="111"/>
      <c r="D17" s="126">
        <v>0</v>
      </c>
      <c r="E17" s="187">
        <v>30950</v>
      </c>
      <c r="F17" s="2"/>
      <c r="G17" s="122" t="s">
        <v>127</v>
      </c>
      <c r="H17" s="111"/>
      <c r="I17" s="171">
        <f t="shared" ref="I17:N17" si="2">I15-SUM(I16)</f>
        <v>26809296</v>
      </c>
      <c r="J17" s="171">
        <f t="shared" si="2"/>
        <v>31620662</v>
      </c>
      <c r="K17" s="171">
        <f t="shared" si="2"/>
        <v>36958691</v>
      </c>
      <c r="L17" s="177">
        <f t="shared" si="2"/>
        <v>0</v>
      </c>
      <c r="M17" s="178">
        <f t="shared" si="2"/>
        <v>0</v>
      </c>
      <c r="N17" s="171">
        <f t="shared" si="2"/>
        <v>36958691</v>
      </c>
      <c r="O17" s="2"/>
      <c r="P17" s="124" t="s">
        <v>128</v>
      </c>
      <c r="Q17" s="120"/>
      <c r="R17" s="120"/>
      <c r="S17" s="188">
        <f>SUM(S12:S16)</f>
        <v>921060626</v>
      </c>
      <c r="T17" s="188">
        <f>SUM(T12:T16)</f>
        <v>1105820544</v>
      </c>
      <c r="U17" s="110"/>
      <c r="V17" s="2"/>
      <c r="W17" s="2"/>
      <c r="X17" s="2"/>
      <c r="Y17" s="2"/>
      <c r="Z17" s="2"/>
    </row>
    <row r="18" spans="1:26" ht="12.75" customHeight="1" x14ac:dyDescent="0.2">
      <c r="A18" s="127"/>
      <c r="B18" s="128" t="s">
        <v>129</v>
      </c>
      <c r="C18" s="128"/>
      <c r="D18" s="129"/>
      <c r="E18" s="189">
        <f>+IF(ISERROR(E17/E19),"NA",E17/E19)</f>
        <v>0.75240063206515129</v>
      </c>
      <c r="F18" s="2"/>
      <c r="G18" s="111" t="s">
        <v>130</v>
      </c>
      <c r="H18" s="111"/>
      <c r="I18" s="168">
        <v>4697362</v>
      </c>
      <c r="J18" s="168">
        <v>5778264</v>
      </c>
      <c r="K18" s="168">
        <v>6583594</v>
      </c>
      <c r="L18" s="172">
        <v>0</v>
      </c>
      <c r="M18" s="173">
        <v>0</v>
      </c>
      <c r="N18" s="181">
        <f>K18+M18-L18</f>
        <v>6583594</v>
      </c>
      <c r="O18" s="2"/>
      <c r="P18" s="111"/>
      <c r="Q18" s="111"/>
      <c r="R18" s="111"/>
      <c r="S18" s="111"/>
      <c r="T18" s="111"/>
      <c r="U18" s="110"/>
      <c r="V18" s="2"/>
      <c r="W18" s="2"/>
      <c r="X18" s="2"/>
      <c r="Y18" s="2"/>
      <c r="Z18" s="2"/>
    </row>
    <row r="19" spans="1:26" ht="15" customHeight="1" x14ac:dyDescent="0.2">
      <c r="A19" s="24"/>
      <c r="B19" s="111" t="s">
        <v>131</v>
      </c>
      <c r="C19" s="111"/>
      <c r="D19" s="190">
        <v>0</v>
      </c>
      <c r="E19" s="191">
        <v>41135</v>
      </c>
      <c r="F19" s="2"/>
      <c r="G19" s="111" t="s">
        <v>132</v>
      </c>
      <c r="H19" s="111"/>
      <c r="I19" s="183">
        <v>187064</v>
      </c>
      <c r="J19" s="183">
        <v>237176</v>
      </c>
      <c r="K19" s="183">
        <v>664242</v>
      </c>
      <c r="L19" s="184">
        <v>0</v>
      </c>
      <c r="M19" s="185">
        <v>0</v>
      </c>
      <c r="N19" s="192">
        <f>K19+M19-L19</f>
        <v>664242</v>
      </c>
      <c r="O19" s="2"/>
      <c r="P19" s="111" t="s">
        <v>133</v>
      </c>
      <c r="Q19" s="123"/>
      <c r="R19" s="123"/>
      <c r="S19" s="168">
        <v>533392350</v>
      </c>
      <c r="T19" s="168">
        <v>618911535</v>
      </c>
      <c r="U19" s="110"/>
      <c r="V19" s="2"/>
      <c r="W19" s="2"/>
      <c r="X19" s="2"/>
      <c r="Y19" s="2"/>
      <c r="Z19" s="2"/>
    </row>
    <row r="20" spans="1:26" ht="15" customHeight="1" x14ac:dyDescent="0.2">
      <c r="A20" s="24"/>
      <c r="B20" s="111" t="s">
        <v>134</v>
      </c>
      <c r="C20" s="111"/>
      <c r="D20" s="190">
        <v>0</v>
      </c>
      <c r="E20" s="191">
        <v>27766</v>
      </c>
      <c r="F20" s="2"/>
      <c r="G20" s="111" t="s">
        <v>135</v>
      </c>
      <c r="H20" s="111"/>
      <c r="I20" s="183">
        <v>0</v>
      </c>
      <c r="J20" s="183">
        <v>0</v>
      </c>
      <c r="K20" s="183">
        <v>0</v>
      </c>
      <c r="L20" s="184">
        <v>0</v>
      </c>
      <c r="M20" s="185">
        <v>0</v>
      </c>
      <c r="N20" s="186">
        <f>K20+M20-L20</f>
        <v>0</v>
      </c>
      <c r="O20" s="2"/>
      <c r="P20" s="111" t="s">
        <v>136</v>
      </c>
      <c r="Q20" s="176"/>
      <c r="R20" s="176"/>
      <c r="S20" s="168">
        <v>23862407</v>
      </c>
      <c r="T20" s="168">
        <v>26877242</v>
      </c>
      <c r="U20" s="110"/>
      <c r="V20" s="2"/>
      <c r="W20" s="2"/>
      <c r="X20" s="2"/>
      <c r="Y20" s="2"/>
      <c r="Z20" s="2"/>
    </row>
    <row r="21" spans="1:26" ht="15" customHeight="1" x14ac:dyDescent="0.2">
      <c r="A21" s="24"/>
      <c r="B21" s="111" t="s">
        <v>137</v>
      </c>
      <c r="C21" s="111"/>
      <c r="D21" s="111"/>
      <c r="E21" s="191">
        <v>700</v>
      </c>
      <c r="F21" s="2"/>
      <c r="G21" s="122" t="s">
        <v>138</v>
      </c>
      <c r="H21" s="111"/>
      <c r="I21" s="188">
        <f t="shared" ref="I21:N21" si="3">I17-SUM(I18:I20)</f>
        <v>21924870</v>
      </c>
      <c r="J21" s="188">
        <f t="shared" si="3"/>
        <v>25605222</v>
      </c>
      <c r="K21" s="188">
        <f t="shared" si="3"/>
        <v>29710855</v>
      </c>
      <c r="L21" s="193">
        <f t="shared" si="3"/>
        <v>0</v>
      </c>
      <c r="M21" s="194">
        <f t="shared" si="3"/>
        <v>0</v>
      </c>
      <c r="N21" s="188">
        <f t="shared" si="3"/>
        <v>29710855</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0.17521392579648493</v>
      </c>
      <c r="J22" s="189">
        <f t="shared" si="4"/>
        <v>0.18273697116145132</v>
      </c>
      <c r="K22" s="189">
        <f t="shared" si="4"/>
        <v>0.17813385219730862</v>
      </c>
      <c r="L22" s="195" t="str">
        <f t="shared" si="4"/>
        <v>NA</v>
      </c>
      <c r="M22" s="196" t="str">
        <f t="shared" si="4"/>
        <v>NA</v>
      </c>
      <c r="N22" s="189">
        <f t="shared" si="4"/>
        <v>0.17813385219730862</v>
      </c>
      <c r="O22" s="2"/>
      <c r="P22" s="124" t="s">
        <v>141</v>
      </c>
      <c r="Q22" s="123"/>
      <c r="R22" s="123"/>
      <c r="S22" s="171">
        <f>SUM(S19:S21)</f>
        <v>557254757</v>
      </c>
      <c r="T22" s="171">
        <f>SUM(T19:T21)</f>
        <v>645788777</v>
      </c>
      <c r="U22" s="110"/>
      <c r="V22" s="2"/>
      <c r="W22" s="2"/>
      <c r="X22" s="2"/>
      <c r="Y22" s="2"/>
      <c r="Z22" s="2"/>
    </row>
    <row r="23" spans="1:26" ht="15" customHeight="1" x14ac:dyDescent="0.2">
      <c r="A23" s="24"/>
      <c r="B23" s="111" t="s">
        <v>142</v>
      </c>
      <c r="C23" s="111"/>
      <c r="D23" s="111"/>
      <c r="E23" s="197">
        <f>+T40</f>
        <v>7086.2404139999999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219319140.81329998</v>
      </c>
      <c r="F24" s="2"/>
      <c r="G24" s="111" t="s">
        <v>144</v>
      </c>
      <c r="H24" s="111"/>
      <c r="I24" s="168">
        <v>7086.2404139999999</v>
      </c>
      <c r="J24" s="168">
        <v>7086.2404139999999</v>
      </c>
      <c r="K24" s="168">
        <v>7086.2404139999999</v>
      </c>
      <c r="L24" s="172">
        <v>0</v>
      </c>
      <c r="M24" s="173">
        <v>0</v>
      </c>
      <c r="N24" s="181">
        <f>+IF(ISERROR(K24+M24-L24),"NA",K24+M24-L24)</f>
        <v>7086.2404139999999</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3094.005949428969</v>
      </c>
      <c r="J25" s="199">
        <f>+IF(ISERROR(J21/J24),"NA",J21/J24)</f>
        <v>3613.3719016098853</v>
      </c>
      <c r="K25" s="199">
        <f>+IF(ISERROR(K21/K24),"NA",K21/K24)</f>
        <v>4192.7528935232649</v>
      </c>
      <c r="L25" s="200" t="str">
        <f>+IF(ISERROR(L21/L24),"NA",L21/L24)</f>
        <v>NA</v>
      </c>
      <c r="M25" s="201" t="str">
        <f>+IF(ISERROR(M21/M24),"NA",M21/M24)</f>
        <v>NA</v>
      </c>
      <c r="N25" s="199" t="str">
        <f>+IF(ISERROR(K25+M25-L25),"NA",K25+M25-L25)</f>
        <v>NA</v>
      </c>
      <c r="O25" s="2"/>
      <c r="P25" s="133" t="s">
        <v>147</v>
      </c>
      <c r="Q25" s="134"/>
      <c r="R25" s="134"/>
      <c r="S25" s="168">
        <v>273604171</v>
      </c>
      <c r="T25" s="168">
        <v>367053918</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830858928</v>
      </c>
      <c r="T26" s="171">
        <f>T22+SUM(T24:T25)</f>
        <v>1012842695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664242</v>
      </c>
      <c r="F28" s="2"/>
      <c r="G28" s="265" t="s">
        <v>152</v>
      </c>
      <c r="H28" s="263"/>
      <c r="I28" s="263"/>
      <c r="J28" s="263"/>
      <c r="K28" s="263"/>
      <c r="L28" s="263"/>
      <c r="M28" s="263"/>
      <c r="N28" s="263"/>
      <c r="O28" s="2"/>
      <c r="P28" s="111" t="s">
        <v>132</v>
      </c>
      <c r="Q28" s="136"/>
      <c r="R28" s="136"/>
      <c r="S28" s="168">
        <v>237176</v>
      </c>
      <c r="T28" s="168">
        <v>664242</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40061092</v>
      </c>
      <c r="J29" s="204">
        <f t="shared" si="5"/>
        <v>46990397</v>
      </c>
      <c r="K29" s="204">
        <f t="shared" si="5"/>
        <v>53391125</v>
      </c>
      <c r="L29" s="205">
        <f t="shared" si="5"/>
        <v>0</v>
      </c>
      <c r="M29" s="206">
        <f t="shared" si="5"/>
        <v>0</v>
      </c>
      <c r="N29" s="204">
        <f t="shared" si="5"/>
        <v>53391125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219983382.81329998</v>
      </c>
      <c r="F30" s="207"/>
      <c r="G30" s="111" t="s">
        <v>157</v>
      </c>
      <c r="H30" s="111"/>
      <c r="I30" s="209">
        <v>0</v>
      </c>
      <c r="J30" s="209">
        <v>0</v>
      </c>
      <c r="K30" s="209">
        <v>0</v>
      </c>
      <c r="L30" s="172">
        <v>0</v>
      </c>
      <c r="M30" s="173">
        <v>0</v>
      </c>
      <c r="N30" s="174">
        <f>K30+M30-L30</f>
        <v>0</v>
      </c>
      <c r="O30" s="2"/>
      <c r="P30" s="133" t="s">
        <v>158</v>
      </c>
      <c r="Q30" s="210"/>
      <c r="R30" s="210"/>
      <c r="S30" s="168">
        <v>147939621</v>
      </c>
      <c r="T30" s="168">
        <v>179501442</v>
      </c>
      <c r="U30" s="2"/>
      <c r="V30" s="2"/>
      <c r="W30" s="2"/>
      <c r="X30" s="2"/>
      <c r="Y30" s="2"/>
      <c r="Z30" s="2"/>
    </row>
    <row r="31" spans="1:26" ht="15" customHeight="1" x14ac:dyDescent="0.2">
      <c r="A31" s="24"/>
      <c r="B31" s="2"/>
      <c r="C31" s="2"/>
      <c r="D31" s="2"/>
      <c r="E31" s="2"/>
      <c r="F31" s="207"/>
      <c r="G31" s="122" t="s">
        <v>159</v>
      </c>
      <c r="H31" s="111"/>
      <c r="I31" s="171">
        <f t="shared" ref="I31:N31" si="6">SUM(I29:I30)</f>
        <v>40061092</v>
      </c>
      <c r="J31" s="171">
        <f t="shared" si="6"/>
        <v>46990397</v>
      </c>
      <c r="K31" s="171">
        <f t="shared" si="6"/>
        <v>53391125</v>
      </c>
      <c r="L31" s="177">
        <f t="shared" si="6"/>
        <v>0</v>
      </c>
      <c r="M31" s="178">
        <f t="shared" si="6"/>
        <v>0</v>
      </c>
      <c r="N31" s="171">
        <f t="shared" si="6"/>
        <v>53391125</v>
      </c>
      <c r="O31" s="2"/>
      <c r="P31" s="124" t="s">
        <v>160</v>
      </c>
      <c r="Q31" s="210"/>
      <c r="R31" s="210"/>
      <c r="S31" s="188">
        <f>S26+SUM(S28:S30)</f>
        <v>979035725</v>
      </c>
      <c r="T31" s="188">
        <f>T26+SUM(T28:T30)</f>
        <v>1193008379</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-57975099</v>
      </c>
      <c r="T32" s="211">
        <f>T17-T31</f>
        <v>-87187835</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26809296</v>
      </c>
      <c r="J34" s="204">
        <f t="shared" si="8"/>
        <v>31620662</v>
      </c>
      <c r="K34" s="204">
        <f t="shared" si="8"/>
        <v>36958691</v>
      </c>
      <c r="L34" s="213">
        <f t="shared" si="8"/>
        <v>0</v>
      </c>
      <c r="M34" s="214">
        <f t="shared" si="8"/>
        <v>0</v>
      </c>
      <c r="N34" s="204">
        <f t="shared" si="8"/>
        <v>36958691</v>
      </c>
      <c r="O34" s="2"/>
      <c r="P34" s="265" t="s">
        <v>167</v>
      </c>
      <c r="Q34" s="263"/>
      <c r="R34" s="263"/>
      <c r="S34" s="263"/>
      <c r="T34" s="263"/>
      <c r="U34" s="110"/>
      <c r="V34" s="2"/>
      <c r="W34" s="2"/>
      <c r="X34" s="2"/>
      <c r="Y34" s="2"/>
      <c r="Z34" s="2"/>
    </row>
    <row r="35" spans="1:26" ht="12.75" customHeight="1" x14ac:dyDescent="0.2">
      <c r="A35" s="24"/>
      <c r="B35" s="111" t="s">
        <v>168</v>
      </c>
      <c r="C35" s="215">
        <f>IF(ISERROR(E30/N10),"NA",E30/N10)</f>
        <v>4.1202237790138341</v>
      </c>
      <c r="D35" s="215">
        <f>IF(ISERROR($E$30/D36),"NA",$E$30/D36)</f>
        <v>3.6787712312623513</v>
      </c>
      <c r="E35" s="215">
        <f>IF(ISERROR($E$30/E36),"NA",$E$30/E36)</f>
        <v>3.3492090597799993</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7086.2404139999999</v>
      </c>
      <c r="U35" s="110"/>
      <c r="V35" s="2"/>
      <c r="W35" s="2"/>
      <c r="X35" s="2"/>
      <c r="Y35" s="2"/>
      <c r="Z35" s="2"/>
    </row>
    <row r="36" spans="1:26" ht="15" customHeight="1" x14ac:dyDescent="0.2">
      <c r="A36" s="24"/>
      <c r="B36" s="111" t="s">
        <v>170</v>
      </c>
      <c r="C36" s="204">
        <f>N10</f>
        <v>53391125</v>
      </c>
      <c r="D36" s="166">
        <v>59798060.000000007</v>
      </c>
      <c r="E36" s="166">
        <v>65682189.10400001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5.9521421582084706</v>
      </c>
      <c r="D37" s="215">
        <f>IF(ISERROR($E$30/D38),"NA",$E$30/D38)</f>
        <v>5.3144126412575625</v>
      </c>
      <c r="E37" s="215">
        <f>IF(ISERROR($E$30/E38),"NA",$E$30/E38)</f>
        <v>4.838321778275275</v>
      </c>
      <c r="F37" s="2"/>
      <c r="G37" s="122" t="s">
        <v>174</v>
      </c>
      <c r="H37" s="111"/>
      <c r="I37" s="171">
        <f t="shared" ref="I37:N37" si="10">SUM(I34:I36)</f>
        <v>26809296</v>
      </c>
      <c r="J37" s="171">
        <f t="shared" si="10"/>
        <v>31620662</v>
      </c>
      <c r="K37" s="171">
        <f t="shared" si="10"/>
        <v>36958691</v>
      </c>
      <c r="L37" s="177">
        <f t="shared" si="10"/>
        <v>0</v>
      </c>
      <c r="M37" s="178">
        <f t="shared" si="10"/>
        <v>0</v>
      </c>
      <c r="N37" s="171">
        <f t="shared" si="10"/>
        <v>36958691</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36958691</v>
      </c>
      <c r="D38" s="166">
        <v>41393733.920000002</v>
      </c>
      <c r="E38" s="166">
        <v>45466877.337728009</v>
      </c>
      <c r="F38" s="2"/>
      <c r="G38" s="128" t="s">
        <v>162</v>
      </c>
      <c r="H38" s="128"/>
      <c r="I38" s="189">
        <f t="shared" ref="I38:N38" si="11">IF(ISERROR(I37/I10),"NA",I37/I10)</f>
        <v>0.66921031508576956</v>
      </c>
      <c r="J38" s="189">
        <f t="shared" si="11"/>
        <v>0.67291753249073427</v>
      </c>
      <c r="K38" s="189">
        <f t="shared" si="11"/>
        <v>0.69222536517070954</v>
      </c>
      <c r="L38" s="195" t="str">
        <f t="shared" si="11"/>
        <v>NA</v>
      </c>
      <c r="M38" s="196" t="str">
        <f t="shared" si="11"/>
        <v>NA</v>
      </c>
      <c r="N38" s="189">
        <f t="shared" si="11"/>
        <v>0.69222536517070954</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5.9521421582084706</v>
      </c>
      <c r="D39" s="215">
        <f>IF(ISERROR($E$30/D40),"NA",$E$30/D40)</f>
        <v>5.3144126412575625</v>
      </c>
      <c r="E39" s="215">
        <f>IF(ISERROR($E$30/E40),"NA",$E$30/E40)</f>
        <v>4.838321778275275</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36958691</v>
      </c>
      <c r="D40" s="166">
        <v>41393733.920000002</v>
      </c>
      <c r="E40" s="166">
        <v>45466877.337728009</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7086.2404139999999</v>
      </c>
      <c r="U40" s="110"/>
      <c r="V40" s="2"/>
      <c r="W40" s="2"/>
      <c r="X40" s="2"/>
      <c r="Y40" s="2"/>
      <c r="Z40" s="2"/>
    </row>
    <row r="41" spans="1:26" ht="12.75" customHeight="1" x14ac:dyDescent="0.2">
      <c r="A41" s="24"/>
      <c r="B41" s="111" t="s">
        <v>181</v>
      </c>
      <c r="C41" s="215">
        <f>IF(ISERROR($E$17/N52),"NA",E17/N52)</f>
        <v>7.3817849002763474</v>
      </c>
      <c r="D41" s="215">
        <f>IF(ISERROR($E$17/D42),"NA",$E$17/D42)</f>
        <v>7.7362621980483128</v>
      </c>
      <c r="E41" s="215">
        <f>IF(ISERROR($E$17/E42),"NA",$E$17/E42)</f>
        <v>7.0432103041226428</v>
      </c>
      <c r="F41" s="2"/>
      <c r="G41" s="122" t="s">
        <v>182</v>
      </c>
      <c r="H41" s="111"/>
      <c r="I41" s="171">
        <f t="shared" ref="I41:N41" si="13">I40+I37</f>
        <v>26809296</v>
      </c>
      <c r="J41" s="171">
        <f t="shared" si="13"/>
        <v>31620662</v>
      </c>
      <c r="K41" s="171">
        <f t="shared" si="13"/>
        <v>36958691</v>
      </c>
      <c r="L41" s="177">
        <f t="shared" si="13"/>
        <v>0</v>
      </c>
      <c r="M41" s="178">
        <f t="shared" si="13"/>
        <v>0</v>
      </c>
      <c r="N41" s="171">
        <f t="shared" si="13"/>
        <v>36958691</v>
      </c>
      <c r="O41" s="2"/>
      <c r="P41" s="111"/>
      <c r="Q41" s="111"/>
      <c r="R41" s="111"/>
      <c r="S41" s="111"/>
      <c r="T41" s="111"/>
      <c r="U41" s="110"/>
      <c r="V41" s="2"/>
      <c r="W41" s="2"/>
      <c r="X41" s="2"/>
      <c r="Y41" s="2"/>
      <c r="Z41" s="2"/>
    </row>
    <row r="42" spans="1:26" ht="15" customHeight="1" x14ac:dyDescent="0.2">
      <c r="A42" s="24"/>
      <c r="B42" s="111" t="s">
        <v>170</v>
      </c>
      <c r="C42" s="199">
        <f>N52</f>
        <v>4192.7528935232649</v>
      </c>
      <c r="D42" s="187">
        <v>4000.64</v>
      </c>
      <c r="E42" s="187">
        <v>4394.3029760000009</v>
      </c>
      <c r="F42" s="2"/>
      <c r="G42" s="128" t="s">
        <v>162</v>
      </c>
      <c r="H42" s="128"/>
      <c r="I42" s="189">
        <f t="shared" ref="I42:N42" si="14">IF(ISERROR(I41/I10),"NA",I41/I10)</f>
        <v>0.66921031508576956</v>
      </c>
      <c r="J42" s="189">
        <f t="shared" si="14"/>
        <v>0.67291753249073427</v>
      </c>
      <c r="K42" s="189">
        <f t="shared" si="14"/>
        <v>0.69222536517070954</v>
      </c>
      <c r="L42" s="195" t="str">
        <f t="shared" si="14"/>
        <v>NA</v>
      </c>
      <c r="M42" s="196" t="str">
        <f t="shared" si="14"/>
        <v>NA</v>
      </c>
      <c r="N42" s="189">
        <f t="shared" si="14"/>
        <v>0.69222536517070954</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21924870</v>
      </c>
      <c r="J44" s="204">
        <f t="shared" si="15"/>
        <v>25605222</v>
      </c>
      <c r="K44" s="204">
        <f t="shared" si="15"/>
        <v>29710855</v>
      </c>
      <c r="L44" s="213">
        <f t="shared" si="15"/>
        <v>0</v>
      </c>
      <c r="M44" s="214">
        <f t="shared" si="15"/>
        <v>0</v>
      </c>
      <c r="N44" s="204">
        <f t="shared" si="15"/>
        <v>29710855</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0.22574255447002381</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0.18147299381324083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2.9316819791660505E-2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9.0468497576736667E-2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21924870</v>
      </c>
      <c r="J49" s="188">
        <f t="shared" si="19"/>
        <v>25605222</v>
      </c>
      <c r="K49" s="188">
        <f t="shared" si="19"/>
        <v>29710855</v>
      </c>
      <c r="L49" s="193">
        <f t="shared" si="19"/>
        <v>0</v>
      </c>
      <c r="M49" s="194">
        <f t="shared" si="19"/>
        <v>0</v>
      </c>
      <c r="N49" s="188">
        <f t="shared" si="19"/>
        <v>29710855</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0.54728588027505587</v>
      </c>
      <c r="J50" s="189">
        <f t="shared" si="20"/>
        <v>0.54490329162360551</v>
      </c>
      <c r="K50" s="189">
        <f t="shared" si="20"/>
        <v>0.55647553783517389</v>
      </c>
      <c r="L50" s="195" t="str">
        <f t="shared" si="20"/>
        <v>NA</v>
      </c>
      <c r="M50" s="196" t="str">
        <f t="shared" si="20"/>
        <v>NA</v>
      </c>
      <c r="N50" s="189">
        <f t="shared" si="20"/>
        <v>0.55647553783517389</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3094.005949428969</v>
      </c>
      <c r="J52" s="199">
        <f t="shared" si="21"/>
        <v>3613.3719016098853</v>
      </c>
      <c r="K52" s="199">
        <f t="shared" si="21"/>
        <v>4192.7528935232649</v>
      </c>
      <c r="L52" s="200">
        <f t="shared" si="21"/>
        <v>0</v>
      </c>
      <c r="M52" s="201">
        <f t="shared" si="21"/>
        <v>0</v>
      </c>
      <c r="N52" s="199">
        <f t="shared" si="21"/>
        <v>4192.7528935232649</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1232358</v>
      </c>
      <c r="J58" s="168">
        <v>1618886</v>
      </c>
      <c r="K58" s="168">
        <v>657030</v>
      </c>
      <c r="L58" s="172">
        <v>0</v>
      </c>
      <c r="M58" s="173">
        <v>0</v>
      </c>
      <c r="N58" s="181">
        <f>K58+M58-L58</f>
        <v>657030</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3.076196724742301E-2</v>
      </c>
      <c r="J59" s="241">
        <f t="shared" si="23"/>
        <v>3.4451422063959153E-2</v>
      </c>
      <c r="K59" s="241">
        <f t="shared" si="23"/>
        <v>1.2305977819347317E-2</v>
      </c>
      <c r="L59" s="244" t="str">
        <f t="shared" si="23"/>
        <v>NA</v>
      </c>
      <c r="M59" s="245" t="str">
        <f t="shared" si="23"/>
        <v>NA</v>
      </c>
      <c r="N59" s="241">
        <f t="shared" si="23"/>
        <v>1.2305977819347317E-2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0.13621353316082851</v>
      </c>
      <c r="D61" s="189">
        <f>IF(ISERROR(K41/J41-1),0,K41/J41-1)</f>
        <v>0.16881458712028241</v>
      </c>
      <c r="E61" s="189">
        <f>IF(ISERROR(K52/J52-1),0,K52/J52-1)</f>
        <v>0.16034358147724692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0.15444472677798649</v>
      </c>
      <c r="D62" s="189">
        <f>IF(ISERROR((K41/I41)^(1/2)-1),0,(K41/I41)^(1/2)-1)</f>
        <v>0.17412838017576537</v>
      </c>
      <c r="E62" s="189">
        <f>IF(ISERROR((K52/I52)^(1/2)-1),0,(K52/I52)^(1/2)-1)</f>
        <v>0.16409670895964767</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0.12000000000000011</v>
      </c>
      <c r="D64" s="189">
        <f>IF(ISERROR(D38/K41-1),0,D38/K41-1)</f>
        <v>0.12000000000000011</v>
      </c>
      <c r="E64" s="189">
        <f>IF(ISERROR(D42/K52-1),0,D42/K52-1)</f>
        <v>-4.5820227998657037E-2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0.10914742031886826</v>
      </c>
      <c r="D65" s="189">
        <f>IF(ISERROR((E38/K41)^(1/2)-1),0,(E38/K41)^(1/2)-1)</f>
        <v>0.10914742031886826</v>
      </c>
      <c r="E65" s="189">
        <f>IF(ISERROR((E42/K52)^(1/2)-1),0,(E42/K52)^(1/2)-1)</f>
        <v>2.3753418341680321E-2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9.8399999999999987E-2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Á Châu (HOSE:ACB)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573946692</v>
      </c>
      <c r="T9" s="168">
        <v>679152623</v>
      </c>
      <c r="U9" s="110"/>
      <c r="V9" s="2"/>
      <c r="W9" s="2"/>
      <c r="X9" s="2"/>
      <c r="Y9" s="2"/>
      <c r="Z9" s="2"/>
    </row>
    <row r="10" spans="1:26" ht="15" customHeight="1" x14ac:dyDescent="0.2">
      <c r="A10" s="24"/>
      <c r="B10" s="111" t="s">
        <v>107</v>
      </c>
      <c r="C10" s="111"/>
      <c r="D10" s="121"/>
      <c r="E10" s="150">
        <v>46022</v>
      </c>
      <c r="F10" s="2"/>
      <c r="G10" s="122" t="s">
        <v>23</v>
      </c>
      <c r="H10" s="122"/>
      <c r="I10" s="166">
        <v>32746516</v>
      </c>
      <c r="J10" s="166">
        <v>33514759</v>
      </c>
      <c r="K10" s="166">
        <v>33797883</v>
      </c>
      <c r="L10" s="169">
        <v>0</v>
      </c>
      <c r="M10" s="170">
        <v>0</v>
      </c>
      <c r="N10" s="171">
        <f>K10+M10-L10</f>
        <v>33797883</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121090243</v>
      </c>
      <c r="T11" s="168">
        <v>144164116</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32746516</v>
      </c>
      <c r="J12" s="171">
        <f t="shared" si="0"/>
        <v>33514759</v>
      </c>
      <c r="K12" s="171">
        <f t="shared" si="0"/>
        <v>33797883</v>
      </c>
      <c r="L12" s="177">
        <f t="shared" si="0"/>
        <v>0</v>
      </c>
      <c r="M12" s="178">
        <f t="shared" si="0"/>
        <v>0</v>
      </c>
      <c r="N12" s="171">
        <f t="shared" si="0"/>
        <v>33797883</v>
      </c>
      <c r="O12" s="2"/>
      <c r="P12" s="124" t="s">
        <v>115</v>
      </c>
      <c r="Q12" s="120"/>
      <c r="R12" s="120"/>
      <c r="S12" s="171">
        <f>SUM(S8:S11)</f>
        <v>695036935</v>
      </c>
      <c r="T12" s="171">
        <f>SUM(T8:T11)</f>
        <v>823316739</v>
      </c>
      <c r="U12" s="110"/>
      <c r="V12" s="2"/>
      <c r="W12" s="2"/>
      <c r="X12" s="2"/>
      <c r="Y12" s="2"/>
      <c r="Z12" s="2"/>
    </row>
    <row r="13" spans="1:26" ht="12.75" customHeight="1" x14ac:dyDescent="0.2">
      <c r="A13" s="24"/>
      <c r="B13" s="111" t="s">
        <v>116</v>
      </c>
      <c r="C13" s="111"/>
      <c r="D13" s="179"/>
      <c r="E13" s="180">
        <v>1</v>
      </c>
      <c r="F13" s="2"/>
      <c r="G13" s="111" t="s">
        <v>117</v>
      </c>
      <c r="H13" s="125"/>
      <c r="I13" s="168">
        <v>-10874286</v>
      </c>
      <c r="J13" s="168">
        <v>-10902603</v>
      </c>
      <c r="K13" s="168">
        <v>-10924359</v>
      </c>
      <c r="L13" s="172">
        <v>0</v>
      </c>
      <c r="M13" s="173">
        <v>0</v>
      </c>
      <c r="N13" s="181">
        <f>K13+M13-L13</f>
        <v>-10924359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21748572</v>
      </c>
      <c r="J14" s="183">
        <v>21805206</v>
      </c>
      <c r="K14" s="183">
        <v>21848718</v>
      </c>
      <c r="L14" s="184">
        <v>0</v>
      </c>
      <c r="M14" s="185">
        <v>0</v>
      </c>
      <c r="N14" s="186">
        <f>K14+M14-L14</f>
        <v>21848718</v>
      </c>
      <c r="O14" s="2"/>
      <c r="P14" s="111" t="s">
        <v>120</v>
      </c>
      <c r="Q14" s="123"/>
      <c r="R14" s="123"/>
      <c r="S14" s="168">
        <v>5412370</v>
      </c>
      <c r="T14" s="168">
        <v>5438550</v>
      </c>
      <c r="U14" s="110"/>
      <c r="V14" s="2"/>
      <c r="W14" s="2"/>
      <c r="X14" s="2"/>
      <c r="Y14" s="2"/>
      <c r="Z14" s="2"/>
    </row>
    <row r="15" spans="1:26" ht="12.75" customHeight="1" x14ac:dyDescent="0.2">
      <c r="A15" s="24"/>
      <c r="B15" s="2"/>
      <c r="C15" s="2"/>
      <c r="D15" s="2"/>
      <c r="E15" s="2"/>
      <c r="F15" s="2"/>
      <c r="G15" s="122" t="s">
        <v>121</v>
      </c>
      <c r="H15" s="125"/>
      <c r="I15" s="171">
        <f t="shared" ref="I15:N15" si="1">I12-SUM(I13:I14)</f>
        <v>21872230</v>
      </c>
      <c r="J15" s="171">
        <f t="shared" si="1"/>
        <v>22612156</v>
      </c>
      <c r="K15" s="171">
        <f t="shared" si="1"/>
        <v>22873524</v>
      </c>
      <c r="L15" s="177">
        <f t="shared" si="1"/>
        <v>0</v>
      </c>
      <c r="M15" s="178">
        <f t="shared" si="1"/>
        <v>0</v>
      </c>
      <c r="N15" s="171">
        <f t="shared" si="1"/>
        <v>22873524</v>
      </c>
      <c r="O15" s="2"/>
      <c r="P15" s="111" t="s">
        <v>122</v>
      </c>
      <c r="Q15" s="120"/>
      <c r="R15" s="120"/>
      <c r="S15" s="168">
        <v>2190172</v>
      </c>
      <c r="T15" s="168">
        <v>2238063</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130450024</v>
      </c>
      <c r="T16" s="168">
        <v>169657269</v>
      </c>
      <c r="U16" s="110"/>
      <c r="V16" s="2"/>
      <c r="W16" s="2"/>
      <c r="X16" s="2"/>
      <c r="Y16" s="2"/>
      <c r="Z16" s="2"/>
    </row>
    <row r="17" spans="1:26" ht="15" customHeight="1" x14ac:dyDescent="0.2">
      <c r="A17" s="24"/>
      <c r="B17" s="111" t="s">
        <v>126</v>
      </c>
      <c r="C17" s="111"/>
      <c r="D17" s="126">
        <v>0</v>
      </c>
      <c r="E17" s="187">
        <v>26500</v>
      </c>
      <c r="F17" s="2"/>
      <c r="G17" s="122" t="s">
        <v>127</v>
      </c>
      <c r="H17" s="111"/>
      <c r="I17" s="171">
        <f t="shared" ref="I17:N17" si="2">I15-SUM(I16)</f>
        <v>21872230</v>
      </c>
      <c r="J17" s="171">
        <f t="shared" si="2"/>
        <v>22612156</v>
      </c>
      <c r="K17" s="171">
        <f t="shared" si="2"/>
        <v>22873524</v>
      </c>
      <c r="L17" s="177">
        <f t="shared" si="2"/>
        <v>0</v>
      </c>
      <c r="M17" s="178">
        <f t="shared" si="2"/>
        <v>0</v>
      </c>
      <c r="N17" s="171">
        <f t="shared" si="2"/>
        <v>22873524</v>
      </c>
      <c r="O17" s="2"/>
      <c r="P17" s="124" t="s">
        <v>128</v>
      </c>
      <c r="Q17" s="120"/>
      <c r="R17" s="120"/>
      <c r="S17" s="188">
        <f>SUM(S12:S16)</f>
        <v>833089501</v>
      </c>
      <c r="T17" s="188">
        <f>SUM(T12:T16)</f>
        <v>1000650621</v>
      </c>
      <c r="U17" s="110"/>
      <c r="V17" s="2"/>
      <c r="W17" s="2"/>
      <c r="X17" s="2"/>
      <c r="Y17" s="2"/>
      <c r="Z17" s="2"/>
    </row>
    <row r="18" spans="1:26" ht="12.75" customHeight="1" x14ac:dyDescent="0.2">
      <c r="A18" s="127"/>
      <c r="B18" s="128" t="s">
        <v>129</v>
      </c>
      <c r="C18" s="128"/>
      <c r="D18" s="129"/>
      <c r="E18" s="189">
        <f>+IF(ISERROR(E17/E19),"NA",E17/E19)</f>
        <v>0.89830508474576276</v>
      </c>
      <c r="F18" s="2"/>
      <c r="G18" s="111" t="s">
        <v>130</v>
      </c>
      <c r="H18" s="111"/>
      <c r="I18" s="168">
        <v>4023266</v>
      </c>
      <c r="J18" s="168">
        <v>4216103</v>
      </c>
      <c r="K18" s="168">
        <v>3914077</v>
      </c>
      <c r="L18" s="172">
        <v>0</v>
      </c>
      <c r="M18" s="173">
        <v>0</v>
      </c>
      <c r="N18" s="181">
        <f>K18+M18-L18</f>
        <v>3914077</v>
      </c>
      <c r="O18" s="2"/>
      <c r="P18" s="111"/>
      <c r="Q18" s="111"/>
      <c r="R18" s="111"/>
      <c r="S18" s="111"/>
      <c r="T18" s="111"/>
      <c r="U18" s="110"/>
      <c r="V18" s="2"/>
      <c r="W18" s="2"/>
      <c r="X18" s="2"/>
      <c r="Y18" s="2"/>
      <c r="Z18" s="2"/>
    </row>
    <row r="19" spans="1:26" ht="15" customHeight="1" x14ac:dyDescent="0.2">
      <c r="A19" s="24"/>
      <c r="B19" s="111" t="s">
        <v>131</v>
      </c>
      <c r="C19" s="111"/>
      <c r="D19" s="190">
        <v>0</v>
      </c>
      <c r="E19" s="191">
        <v>29500</v>
      </c>
      <c r="F19" s="2"/>
      <c r="G19" s="111" t="s">
        <v>132</v>
      </c>
      <c r="H19" s="111"/>
      <c r="I19" s="183">
        <v>0</v>
      </c>
      <c r="J19" s="183">
        <v>0</v>
      </c>
      <c r="K19" s="183">
        <v>0</v>
      </c>
      <c r="L19" s="184">
        <v>0</v>
      </c>
      <c r="M19" s="185">
        <v>0</v>
      </c>
      <c r="N19" s="192">
        <f>K19+M19-L19</f>
        <v>0</v>
      </c>
      <c r="O19" s="2"/>
      <c r="P19" s="111" t="s">
        <v>133</v>
      </c>
      <c r="Q19" s="123"/>
      <c r="R19" s="123"/>
      <c r="S19" s="168">
        <v>537304578</v>
      </c>
      <c r="T19" s="168">
        <v>585180175</v>
      </c>
      <c r="U19" s="110"/>
      <c r="V19" s="2"/>
      <c r="W19" s="2"/>
      <c r="X19" s="2"/>
      <c r="Y19" s="2"/>
      <c r="Z19" s="2"/>
    </row>
    <row r="20" spans="1:26" ht="15" customHeight="1" x14ac:dyDescent="0.2">
      <c r="A20" s="24"/>
      <c r="B20" s="111" t="s">
        <v>134</v>
      </c>
      <c r="C20" s="111"/>
      <c r="D20" s="190">
        <v>0</v>
      </c>
      <c r="E20" s="191">
        <v>20900</v>
      </c>
      <c r="F20" s="2"/>
      <c r="G20" s="111" t="s">
        <v>135</v>
      </c>
      <c r="H20" s="111"/>
      <c r="I20" s="183">
        <v>0</v>
      </c>
      <c r="J20" s="183">
        <v>0</v>
      </c>
      <c r="K20" s="183">
        <v>0</v>
      </c>
      <c r="L20" s="184">
        <v>0</v>
      </c>
      <c r="M20" s="185">
        <v>0</v>
      </c>
      <c r="N20" s="186">
        <f>K20+M20-L20</f>
        <v>0</v>
      </c>
      <c r="O20" s="2"/>
      <c r="P20" s="111" t="s">
        <v>136</v>
      </c>
      <c r="Q20" s="176"/>
      <c r="R20" s="176"/>
      <c r="S20" s="168">
        <v>22014472</v>
      </c>
      <c r="T20" s="168">
        <v>24861054</v>
      </c>
      <c r="U20" s="110"/>
      <c r="V20" s="2"/>
      <c r="W20" s="2"/>
      <c r="X20" s="2"/>
      <c r="Y20" s="2"/>
      <c r="Z20" s="2"/>
    </row>
    <row r="21" spans="1:26" ht="15" customHeight="1" x14ac:dyDescent="0.2">
      <c r="A21" s="24"/>
      <c r="B21" s="111" t="s">
        <v>137</v>
      </c>
      <c r="C21" s="111"/>
      <c r="D21" s="111"/>
      <c r="E21" s="191">
        <v>700</v>
      </c>
      <c r="F21" s="2"/>
      <c r="G21" s="122" t="s">
        <v>138</v>
      </c>
      <c r="H21" s="111"/>
      <c r="I21" s="188">
        <f t="shared" ref="I21:N21" si="3">I17-SUM(I18:I20)</f>
        <v>17848964</v>
      </c>
      <c r="J21" s="188">
        <f t="shared" si="3"/>
        <v>18396053</v>
      </c>
      <c r="K21" s="188">
        <f t="shared" si="3"/>
        <v>18959447</v>
      </c>
      <c r="L21" s="193">
        <f t="shared" si="3"/>
        <v>0</v>
      </c>
      <c r="M21" s="194">
        <f t="shared" si="3"/>
        <v>0</v>
      </c>
      <c r="N21" s="188">
        <f t="shared" si="3"/>
        <v>18959447</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0.18394402399755305</v>
      </c>
      <c r="J22" s="189">
        <f t="shared" si="4"/>
        <v>0.1864529415063296</v>
      </c>
      <c r="K22" s="189">
        <f t="shared" si="4"/>
        <v>0.17111823259065809</v>
      </c>
      <c r="L22" s="195" t="str">
        <f t="shared" si="4"/>
        <v>NA</v>
      </c>
      <c r="M22" s="196" t="str">
        <f t="shared" si="4"/>
        <v>NA</v>
      </c>
      <c r="N22" s="189">
        <f t="shared" si="4"/>
        <v>0.17111823259065809</v>
      </c>
      <c r="O22" s="2"/>
      <c r="P22" s="124" t="s">
        <v>141</v>
      </c>
      <c r="Q22" s="123"/>
      <c r="R22" s="123"/>
      <c r="S22" s="171">
        <f>SUM(S19:S21)</f>
        <v>559319050</v>
      </c>
      <c r="T22" s="171">
        <f>SUM(T19:T21)</f>
        <v>610041229</v>
      </c>
      <c r="U22" s="110"/>
      <c r="V22" s="2"/>
      <c r="W22" s="2"/>
      <c r="X22" s="2"/>
      <c r="Y22" s="2"/>
      <c r="Z22" s="2"/>
    </row>
    <row r="23" spans="1:26" ht="15" customHeight="1" x14ac:dyDescent="0.2">
      <c r="A23" s="24"/>
      <c r="B23" s="111" t="s">
        <v>142</v>
      </c>
      <c r="C23" s="111"/>
      <c r="D23" s="111"/>
      <c r="E23" s="197">
        <f>+T40</f>
        <v>5136.6565989999999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136121399.87349999</v>
      </c>
      <c r="F24" s="2"/>
      <c r="G24" s="111" t="s">
        <v>144</v>
      </c>
      <c r="H24" s="111"/>
      <c r="I24" s="168">
        <v>5136.6565989999999</v>
      </c>
      <c r="J24" s="168">
        <v>5136.6565989999999</v>
      </c>
      <c r="K24" s="168">
        <v>5136.6565989999999</v>
      </c>
      <c r="L24" s="172">
        <v>0</v>
      </c>
      <c r="M24" s="173">
        <v>0</v>
      </c>
      <c r="N24" s="181">
        <f>+IF(ISERROR(K24+M24-L24),"NA",K24+M24-L24)</f>
        <v>5136.6565989999999</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3474.8213465301187</v>
      </c>
      <c r="J25" s="199">
        <f>+IF(ISERROR(J21/J24),"NA",J21/J24)</f>
        <v>3581.328174357875</v>
      </c>
      <c r="K25" s="199">
        <f>+IF(ISERROR(K21/K24),"NA",K21/K24)</f>
        <v>3691.0092459151365</v>
      </c>
      <c r="L25" s="200" t="str">
        <f>+IF(ISERROR(L21/L24),"NA",L21/L24)</f>
        <v>NA</v>
      </c>
      <c r="M25" s="201" t="str">
        <f>+IF(ISERROR(M21/M24),"NA",M21/M24)</f>
        <v>NA</v>
      </c>
      <c r="N25" s="199" t="str">
        <f>+IF(ISERROR(K25+M25-L25),"NA",K25+M25-L25)</f>
        <v>NA</v>
      </c>
      <c r="O25" s="2"/>
      <c r="P25" s="133" t="s">
        <v>147</v>
      </c>
      <c r="Q25" s="134"/>
      <c r="R25" s="134"/>
      <c r="S25" s="168">
        <v>221224975</v>
      </c>
      <c r="T25" s="168">
        <v>321289179</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780544025</v>
      </c>
      <c r="T26" s="171">
        <f>T22+SUM(T24:T25)</f>
        <v>931330408</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0</v>
      </c>
      <c r="F28" s="2"/>
      <c r="G28" s="265" t="s">
        <v>152</v>
      </c>
      <c r="H28" s="263"/>
      <c r="I28" s="263"/>
      <c r="J28" s="263"/>
      <c r="K28" s="263"/>
      <c r="L28" s="263"/>
      <c r="M28" s="263"/>
      <c r="N28" s="263"/>
      <c r="O28" s="2"/>
      <c r="P28" s="111" t="s">
        <v>132</v>
      </c>
      <c r="Q28" s="136"/>
      <c r="R28" s="136"/>
      <c r="S28" s="168">
        <v>0</v>
      </c>
      <c r="T28" s="168">
        <v>0</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32746516</v>
      </c>
      <c r="J29" s="204">
        <f t="shared" si="5"/>
        <v>33514759</v>
      </c>
      <c r="K29" s="204">
        <f t="shared" si="5"/>
        <v>33797883</v>
      </c>
      <c r="L29" s="205">
        <f t="shared" si="5"/>
        <v>0</v>
      </c>
      <c r="M29" s="206">
        <f t="shared" si="5"/>
        <v>0</v>
      </c>
      <c r="N29" s="204">
        <f t="shared" si="5"/>
        <v>33797883</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136121399.87349999</v>
      </c>
      <c r="F30" s="207"/>
      <c r="G30" s="111" t="s">
        <v>157</v>
      </c>
      <c r="H30" s="111"/>
      <c r="I30" s="209">
        <v>0</v>
      </c>
      <c r="J30" s="209">
        <v>0</v>
      </c>
      <c r="K30" s="209">
        <v>0</v>
      </c>
      <c r="L30" s="172">
        <v>0</v>
      </c>
      <c r="M30" s="173">
        <v>0</v>
      </c>
      <c r="N30" s="174">
        <f>K30+M30-L30</f>
        <v>0</v>
      </c>
      <c r="O30" s="2"/>
      <c r="P30" s="133" t="s">
        <v>158</v>
      </c>
      <c r="Q30" s="210"/>
      <c r="R30" s="210"/>
      <c r="S30" s="168">
        <v>83461678</v>
      </c>
      <c r="T30" s="168">
        <v>94519719</v>
      </c>
      <c r="U30" s="2"/>
      <c r="V30" s="2"/>
      <c r="W30" s="2"/>
      <c r="X30" s="2"/>
      <c r="Y30" s="2"/>
      <c r="Z30" s="2"/>
    </row>
    <row r="31" spans="1:26" ht="15" customHeight="1" x14ac:dyDescent="0.2">
      <c r="A31" s="24"/>
      <c r="B31" s="2"/>
      <c r="C31" s="2"/>
      <c r="D31" s="2"/>
      <c r="E31" s="2"/>
      <c r="F31" s="207"/>
      <c r="G31" s="122" t="s">
        <v>159</v>
      </c>
      <c r="H31" s="111"/>
      <c r="I31" s="171">
        <f t="shared" ref="I31:N31" si="6">SUM(I29:I30)</f>
        <v>32746516</v>
      </c>
      <c r="J31" s="171">
        <f t="shared" si="6"/>
        <v>33514759</v>
      </c>
      <c r="K31" s="171">
        <f t="shared" si="6"/>
        <v>33797883</v>
      </c>
      <c r="L31" s="177">
        <f t="shared" si="6"/>
        <v>0</v>
      </c>
      <c r="M31" s="178">
        <f t="shared" si="6"/>
        <v>0</v>
      </c>
      <c r="N31" s="171">
        <f t="shared" si="6"/>
        <v>33797883</v>
      </c>
      <c r="O31" s="2"/>
      <c r="P31" s="124" t="s">
        <v>160</v>
      </c>
      <c r="Q31" s="210"/>
      <c r="R31" s="210"/>
      <c r="S31" s="188">
        <f>S26+SUM(S28:S30)</f>
        <v>864005703</v>
      </c>
      <c r="T31" s="188">
        <f>T26+SUM(T28:T30)</f>
        <v>1025850127</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-30916202</v>
      </c>
      <c r="T32" s="211">
        <f>T17-T31</f>
        <v>-25199506</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21872230</v>
      </c>
      <c r="J34" s="204">
        <f t="shared" si="8"/>
        <v>22612156</v>
      </c>
      <c r="K34" s="204">
        <f t="shared" si="8"/>
        <v>22873524</v>
      </c>
      <c r="L34" s="213">
        <f t="shared" si="8"/>
        <v>0</v>
      </c>
      <c r="M34" s="214">
        <f t="shared" si="8"/>
        <v>0</v>
      </c>
      <c r="N34" s="204">
        <f t="shared" si="8"/>
        <v>22873524</v>
      </c>
      <c r="O34" s="2"/>
      <c r="P34" s="265" t="s">
        <v>167</v>
      </c>
      <c r="Q34" s="263"/>
      <c r="R34" s="263"/>
      <c r="S34" s="263"/>
      <c r="T34" s="263"/>
      <c r="U34" s="110"/>
      <c r="V34" s="2"/>
      <c r="W34" s="2"/>
      <c r="X34" s="2"/>
      <c r="Y34" s="2"/>
      <c r="Z34" s="2"/>
    </row>
    <row r="35" spans="1:26" ht="12.75" customHeight="1" x14ac:dyDescent="0.2">
      <c r="A35" s="24"/>
      <c r="B35" s="111" t="s">
        <v>168</v>
      </c>
      <c r="C35" s="215">
        <f>IF(ISERROR(E30/N10),"NA",E30/N10)</f>
        <v>4.0275126070322216</v>
      </c>
      <c r="D35" s="215">
        <f>IF(ISERROR($E$30/D36),"NA",$E$30/D36)</f>
        <v>3.8913165285335487</v>
      </c>
      <c r="E35" s="215">
        <f>IF(ISERROR($E$30/E36),"NA",$E$30/E36)</f>
        <v>3.7827515587960998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5136.6565989999999</v>
      </c>
      <c r="U35" s="110"/>
      <c r="V35" s="2"/>
      <c r="W35" s="2"/>
      <c r="X35" s="2"/>
      <c r="Y35" s="2"/>
      <c r="Z35" s="2"/>
    </row>
    <row r="36" spans="1:26" ht="15" customHeight="1" x14ac:dyDescent="0.2">
      <c r="A36" s="24"/>
      <c r="B36" s="111" t="s">
        <v>170</v>
      </c>
      <c r="C36" s="204">
        <f>N10</f>
        <v>33797883</v>
      </c>
      <c r="D36" s="166">
        <v>34980808.904999986</v>
      </c>
      <c r="E36" s="166">
        <v>35984758.120573491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5.9510462783740712</v>
      </c>
      <c r="D37" s="215">
        <f>IF(ISERROR($E$30/D38),"NA",$E$30/D38)</f>
        <v>5.7498031675111827</v>
      </c>
      <c r="E37" s="215">
        <f>IF(ISERROR($E$30/E38),"NA",$E$30/E38)</f>
        <v>5.5893877393906699</v>
      </c>
      <c r="F37" s="2"/>
      <c r="G37" s="122" t="s">
        <v>174</v>
      </c>
      <c r="H37" s="111"/>
      <c r="I37" s="171">
        <f t="shared" ref="I37:N37" si="10">SUM(I34:I36)</f>
        <v>21872230</v>
      </c>
      <c r="J37" s="171">
        <f t="shared" si="10"/>
        <v>22612156</v>
      </c>
      <c r="K37" s="171">
        <f t="shared" si="10"/>
        <v>22873524</v>
      </c>
      <c r="L37" s="177">
        <f t="shared" si="10"/>
        <v>0</v>
      </c>
      <c r="M37" s="178">
        <f t="shared" si="10"/>
        <v>0</v>
      </c>
      <c r="N37" s="171">
        <f t="shared" si="10"/>
        <v>22873524</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22873524</v>
      </c>
      <c r="D38" s="166">
        <v>23674097.339999989</v>
      </c>
      <c r="E38" s="166">
        <v>24353543.933657989</v>
      </c>
      <c r="F38" s="2"/>
      <c r="G38" s="128" t="s">
        <v>162</v>
      </c>
      <c r="H38" s="128"/>
      <c r="I38" s="189">
        <f t="shared" ref="I38:N38" si="11">IF(ISERROR(I37/I10),"NA",I37/I10)</f>
        <v>0.66792540617145346</v>
      </c>
      <c r="J38" s="189">
        <f t="shared" si="11"/>
        <v>0.67469248398891968</v>
      </c>
      <c r="K38" s="189">
        <f t="shared" si="11"/>
        <v>0.67677386775970549</v>
      </c>
      <c r="L38" s="195" t="str">
        <f t="shared" si="11"/>
        <v>NA</v>
      </c>
      <c r="M38" s="196" t="str">
        <f t="shared" si="11"/>
        <v>NA</v>
      </c>
      <c r="N38" s="189">
        <f t="shared" si="11"/>
        <v>0.67677386775970549</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5.9510462783740712</v>
      </c>
      <c r="D39" s="215">
        <f>IF(ISERROR($E$30/D40),"NA",$E$30/D40)</f>
        <v>5.7498031675111827</v>
      </c>
      <c r="E39" s="215">
        <f>IF(ISERROR($E$30/E40),"NA",$E$30/E40)</f>
        <v>5.5893877393906699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22873524</v>
      </c>
      <c r="D40" s="166">
        <v>23674097.339999989</v>
      </c>
      <c r="E40" s="166">
        <v>24353543.933657989</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5136.6565989999999</v>
      </c>
      <c r="U40" s="110"/>
      <c r="V40" s="2"/>
      <c r="W40" s="2"/>
      <c r="X40" s="2"/>
      <c r="Y40" s="2"/>
      <c r="Z40" s="2"/>
    </row>
    <row r="41" spans="1:26" ht="12.75" customHeight="1" x14ac:dyDescent="0.2">
      <c r="A41" s="24"/>
      <c r="B41" s="111" t="s">
        <v>181</v>
      </c>
      <c r="C41" s="215">
        <f>IF(ISERROR($E$17/N52),"NA",E17/N52)</f>
        <v>7.1796081327424792</v>
      </c>
      <c r="D41" s="215">
        <f>IF(ISERROR($E$17/D42),"NA",$E$17/D42)</f>
        <v>8.472489984877404</v>
      </c>
      <c r="E41" s="215">
        <f>IF(ISERROR($E$17/E42),"NA",$E$17/E42)</f>
        <v>8.2361135266621996</v>
      </c>
      <c r="F41" s="2"/>
      <c r="G41" s="122" t="s">
        <v>182</v>
      </c>
      <c r="H41" s="111"/>
      <c r="I41" s="171">
        <f t="shared" ref="I41:N41" si="13">I40+I37</f>
        <v>21872230</v>
      </c>
      <c r="J41" s="171">
        <f t="shared" si="13"/>
        <v>22612156</v>
      </c>
      <c r="K41" s="171">
        <f t="shared" si="13"/>
        <v>22873524</v>
      </c>
      <c r="L41" s="177">
        <f t="shared" si="13"/>
        <v>0</v>
      </c>
      <c r="M41" s="178">
        <f t="shared" si="13"/>
        <v>0</v>
      </c>
      <c r="N41" s="171">
        <f t="shared" si="13"/>
        <v>22873524</v>
      </c>
      <c r="O41" s="2"/>
      <c r="P41" s="111"/>
      <c r="Q41" s="111"/>
      <c r="R41" s="111"/>
      <c r="S41" s="111"/>
      <c r="T41" s="111"/>
      <c r="U41" s="110"/>
      <c r="V41" s="2"/>
      <c r="W41" s="2"/>
      <c r="X41" s="2"/>
      <c r="Y41" s="2"/>
      <c r="Z41" s="2"/>
    </row>
    <row r="42" spans="1:26" ht="15" customHeight="1" x14ac:dyDescent="0.2">
      <c r="A42" s="24"/>
      <c r="B42" s="111" t="s">
        <v>170</v>
      </c>
      <c r="C42" s="199">
        <f>N52</f>
        <v>3691.0092459151365</v>
      </c>
      <c r="D42" s="187">
        <v>3127.77</v>
      </c>
      <c r="E42" s="187">
        <v>3217.5369989999999</v>
      </c>
      <c r="F42" s="2"/>
      <c r="G42" s="128" t="s">
        <v>162</v>
      </c>
      <c r="H42" s="128"/>
      <c r="I42" s="189">
        <f t="shared" ref="I42:N42" si="14">IF(ISERROR(I41/I10),"NA",I41/I10)</f>
        <v>0.66792540617145346</v>
      </c>
      <c r="J42" s="189">
        <f t="shared" si="14"/>
        <v>0.67469248398891968</v>
      </c>
      <c r="K42" s="189">
        <f t="shared" si="14"/>
        <v>0.67677386775970549</v>
      </c>
      <c r="L42" s="195" t="str">
        <f t="shared" si="14"/>
        <v>NA</v>
      </c>
      <c r="M42" s="196" t="str">
        <f t="shared" si="14"/>
        <v>NA</v>
      </c>
      <c r="N42" s="189">
        <f t="shared" si="14"/>
        <v>0.67677386775970549</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17848964</v>
      </c>
      <c r="J44" s="204">
        <f t="shared" si="15"/>
        <v>18396053</v>
      </c>
      <c r="K44" s="204">
        <f t="shared" si="15"/>
        <v>18959447</v>
      </c>
      <c r="L44" s="213">
        <f t="shared" si="15"/>
        <v>0</v>
      </c>
      <c r="M44" s="214">
        <f t="shared" si="15"/>
        <v>0</v>
      </c>
      <c r="N44" s="204">
        <f t="shared" si="15"/>
        <v>18959447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0.25703275045087998</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0.21304976047580973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2.0678444859810949E-2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0.10566037735849057</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17848964</v>
      </c>
      <c r="J49" s="188">
        <f t="shared" si="19"/>
        <v>18396053</v>
      </c>
      <c r="K49" s="188">
        <f t="shared" si="19"/>
        <v>18959447</v>
      </c>
      <c r="L49" s="193">
        <f t="shared" si="19"/>
        <v>0</v>
      </c>
      <c r="M49" s="194">
        <f t="shared" si="19"/>
        <v>0</v>
      </c>
      <c r="N49" s="188">
        <f t="shared" si="19"/>
        <v>18959447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0.54506451923007626</v>
      </c>
      <c r="J50" s="189">
        <f t="shared" si="20"/>
        <v>0.5488940857369734</v>
      </c>
      <c r="K50" s="189">
        <f t="shared" si="20"/>
        <v>0.56096551964512098</v>
      </c>
      <c r="L50" s="195" t="str">
        <f t="shared" si="20"/>
        <v>NA</v>
      </c>
      <c r="M50" s="196" t="str">
        <f t="shared" si="20"/>
        <v>NA</v>
      </c>
      <c r="N50" s="189">
        <f t="shared" si="20"/>
        <v>0.56096551964512098</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3474.8213465301187</v>
      </c>
      <c r="J52" s="199">
        <f t="shared" si="21"/>
        <v>3581.328174357875</v>
      </c>
      <c r="K52" s="199">
        <f t="shared" si="21"/>
        <v>3691.0092459151365</v>
      </c>
      <c r="L52" s="200">
        <f t="shared" si="21"/>
        <v>0</v>
      </c>
      <c r="M52" s="201">
        <f t="shared" si="21"/>
        <v>0</v>
      </c>
      <c r="N52" s="199">
        <f t="shared" si="21"/>
        <v>3691.0092459151365</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1276249</v>
      </c>
      <c r="J58" s="168">
        <v>919740</v>
      </c>
      <c r="K58" s="168">
        <v>701864</v>
      </c>
      <c r="L58" s="172">
        <v>0</v>
      </c>
      <c r="M58" s="173">
        <v>0</v>
      </c>
      <c r="N58" s="181">
        <f>K58+M58-L58</f>
        <v>701864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3.8973581189522571E-2</v>
      </c>
      <c r="J59" s="241">
        <f t="shared" si="23"/>
        <v>2.7442834961158454E-2</v>
      </c>
      <c r="K59" s="241">
        <f t="shared" si="23"/>
        <v>2.0766507772099218E-2</v>
      </c>
      <c r="L59" s="244" t="str">
        <f t="shared" si="23"/>
        <v>NA</v>
      </c>
      <c r="M59" s="245" t="str">
        <f t="shared" si="23"/>
        <v>NA</v>
      </c>
      <c r="N59" s="241">
        <f t="shared" si="23"/>
        <v>2.0766507772099218E-2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8.4477408893197659E-3</v>
      </c>
      <c r="D61" s="189">
        <f>IF(ISERROR(K41/J41-1),0,K41/J41-1)</f>
        <v>1.1558738582910788E-2</v>
      </c>
      <c r="E61" s="189">
        <f>IF(ISERROR(K52/J52-1),0,K52/J52-1)</f>
        <v>3.062580869928988E-2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1.5926288996600979E-2</v>
      </c>
      <c r="D62" s="189">
        <f>IF(ISERROR((K41/I41)^(1/2)-1),0,(K41/I41)^(1/2)-1)</f>
        <v>2.2633481243097719E-2</v>
      </c>
      <c r="E62" s="189">
        <f>IF(ISERROR((K52/I52)^(1/2)-1),0,(K52/I52)^(1/2)-1)</f>
        <v>3.0638415601936364E-2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3.4999999999999698E-2</v>
      </c>
      <c r="D64" s="189">
        <f>IF(ISERROR(D38/K41-1),0,D38/K41-1)</f>
        <v>3.4999999999999476E-2</v>
      </c>
      <c r="E64" s="189">
        <f>IF(ISERROR(D42/K52-1),0,D42/K52-1)</f>
        <v>-0.15259762530762477</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3.18451918771534E-2</v>
      </c>
      <c r="D65" s="189">
        <f>IF(ISERROR((E38/K41)^(1/2)-1),0,(E38/K41)^(1/2)-1)</f>
        <v>3.18451918771534E-2</v>
      </c>
      <c r="E65" s="189">
        <f>IF(ISERROR((E42/K52)^(1/2)-1),0,(E42/K52)^(1/2)-1)</f>
        <v>-6.6339021461190972E-2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2.87E-2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Ngoại thương Việt Nam (HOSE:VCB)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1418015724</v>
      </c>
      <c r="T9" s="168">
        <v>1648549996</v>
      </c>
      <c r="U9" s="110"/>
      <c r="V9" s="2"/>
      <c r="W9" s="2"/>
      <c r="X9" s="2"/>
      <c r="Y9" s="2"/>
      <c r="Z9" s="2"/>
    </row>
    <row r="10" spans="1:26" ht="15" customHeight="1" x14ac:dyDescent="0.2">
      <c r="A10" s="24"/>
      <c r="B10" s="111" t="s">
        <v>107</v>
      </c>
      <c r="C10" s="111"/>
      <c r="D10" s="121"/>
      <c r="E10" s="150">
        <v>46022</v>
      </c>
      <c r="F10" s="2"/>
      <c r="G10" s="122" t="s">
        <v>23</v>
      </c>
      <c r="H10" s="122"/>
      <c r="I10" s="166">
        <v>67723462</v>
      </c>
      <c r="J10" s="166">
        <v>68578496</v>
      </c>
      <c r="K10" s="166">
        <v>72454622</v>
      </c>
      <c r="L10" s="169">
        <v>0</v>
      </c>
      <c r="M10" s="170">
        <v>0</v>
      </c>
      <c r="N10" s="171">
        <f>K10+M10-L10</f>
        <v>72454622</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167383349</v>
      </c>
      <c r="T11" s="168">
        <v>162104164</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67723462</v>
      </c>
      <c r="J12" s="171">
        <f t="shared" si="0"/>
        <v>68578496</v>
      </c>
      <c r="K12" s="171">
        <f t="shared" si="0"/>
        <v>72454622</v>
      </c>
      <c r="L12" s="177">
        <f t="shared" si="0"/>
        <v>0</v>
      </c>
      <c r="M12" s="178">
        <f t="shared" si="0"/>
        <v>0</v>
      </c>
      <c r="N12" s="171">
        <f t="shared" si="0"/>
        <v>72454622</v>
      </c>
      <c r="O12" s="2"/>
      <c r="P12" s="124" t="s">
        <v>115</v>
      </c>
      <c r="Q12" s="120"/>
      <c r="R12" s="120"/>
      <c r="S12" s="171">
        <f>SUM(S8:S11)</f>
        <v>1585399073</v>
      </c>
      <c r="T12" s="171">
        <f>SUM(T8:T11)</f>
        <v>1810654160</v>
      </c>
      <c r="U12" s="110"/>
      <c r="V12" s="2"/>
      <c r="W12" s="2"/>
      <c r="X12" s="2"/>
      <c r="Y12" s="2"/>
      <c r="Z12" s="2"/>
    </row>
    <row r="13" spans="1:26" ht="12.75" customHeight="1" x14ac:dyDescent="0.2">
      <c r="A13" s="24"/>
      <c r="B13" s="111" t="s">
        <v>116</v>
      </c>
      <c r="C13" s="111"/>
      <c r="D13" s="179"/>
      <c r="E13" s="180">
        <v>1</v>
      </c>
      <c r="F13" s="2"/>
      <c r="G13" s="111" t="s">
        <v>117</v>
      </c>
      <c r="H13" s="125"/>
      <c r="I13" s="168">
        <v>-21914899</v>
      </c>
      <c r="J13" s="168">
        <v>-23027363</v>
      </c>
      <c r="K13" s="168">
        <v>-25242799</v>
      </c>
      <c r="L13" s="172">
        <v>0</v>
      </c>
      <c r="M13" s="173">
        <v>0</v>
      </c>
      <c r="N13" s="181">
        <f>K13+M13-L13</f>
        <v>-25242799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43829798</v>
      </c>
      <c r="J14" s="183">
        <v>46054726</v>
      </c>
      <c r="K14" s="183">
        <v>50485598</v>
      </c>
      <c r="L14" s="184">
        <v>0</v>
      </c>
      <c r="M14" s="185">
        <v>0</v>
      </c>
      <c r="N14" s="186">
        <f>K14+M14-L14</f>
        <v>50485598</v>
      </c>
      <c r="O14" s="2"/>
      <c r="P14" s="111" t="s">
        <v>120</v>
      </c>
      <c r="Q14" s="123"/>
      <c r="R14" s="123"/>
      <c r="S14" s="168">
        <v>8092877</v>
      </c>
      <c r="T14" s="168">
        <v>8163312</v>
      </c>
      <c r="U14" s="110"/>
      <c r="V14" s="2"/>
      <c r="W14" s="2"/>
      <c r="X14" s="2"/>
      <c r="Y14" s="2"/>
      <c r="Z14" s="2"/>
    </row>
    <row r="15" spans="1:26" ht="12.75" customHeight="1" x14ac:dyDescent="0.2">
      <c r="A15" s="24"/>
      <c r="B15" s="2"/>
      <c r="C15" s="2"/>
      <c r="D15" s="2"/>
      <c r="E15" s="2"/>
      <c r="F15" s="2"/>
      <c r="G15" s="122" t="s">
        <v>121</v>
      </c>
      <c r="H15" s="125"/>
      <c r="I15" s="171">
        <f t="shared" ref="I15:N15" si="1">I12-SUM(I13:I14)</f>
        <v>45808563</v>
      </c>
      <c r="J15" s="171">
        <f t="shared" si="1"/>
        <v>45551133</v>
      </c>
      <c r="K15" s="171">
        <f t="shared" si="1"/>
        <v>47211823</v>
      </c>
      <c r="L15" s="177">
        <f t="shared" si="1"/>
        <v>0</v>
      </c>
      <c r="M15" s="178">
        <f t="shared" si="1"/>
        <v>0</v>
      </c>
      <c r="N15" s="171">
        <f t="shared" si="1"/>
        <v>47211823</v>
      </c>
      <c r="O15" s="2"/>
      <c r="P15" s="111" t="s">
        <v>122</v>
      </c>
      <c r="Q15" s="120"/>
      <c r="R15" s="120"/>
      <c r="S15" s="168">
        <v>2562298</v>
      </c>
      <c r="T15" s="168">
        <v>2544519</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426210717</v>
      </c>
      <c r="T16" s="168">
        <v>567928902</v>
      </c>
      <c r="U16" s="110"/>
      <c r="V16" s="2"/>
      <c r="W16" s="2"/>
      <c r="X16" s="2"/>
      <c r="Y16" s="2"/>
      <c r="Z16" s="2"/>
    </row>
    <row r="17" spans="1:26" ht="15" customHeight="1" x14ac:dyDescent="0.2">
      <c r="A17" s="24"/>
      <c r="B17" s="111" t="s">
        <v>126</v>
      </c>
      <c r="C17" s="111"/>
      <c r="D17" s="126">
        <v>0</v>
      </c>
      <c r="E17" s="187">
        <v>61700</v>
      </c>
      <c r="F17" s="2"/>
      <c r="G17" s="122" t="s">
        <v>127</v>
      </c>
      <c r="H17" s="111"/>
      <c r="I17" s="171">
        <f t="shared" ref="I17:N17" si="2">I15-SUM(I16)</f>
        <v>45808563</v>
      </c>
      <c r="J17" s="171">
        <f t="shared" si="2"/>
        <v>45551133</v>
      </c>
      <c r="K17" s="171">
        <f t="shared" si="2"/>
        <v>47211823</v>
      </c>
      <c r="L17" s="177">
        <f t="shared" si="2"/>
        <v>0</v>
      </c>
      <c r="M17" s="178">
        <f t="shared" si="2"/>
        <v>0</v>
      </c>
      <c r="N17" s="171">
        <f t="shared" si="2"/>
        <v>47211823</v>
      </c>
      <c r="O17" s="2"/>
      <c r="P17" s="124" t="s">
        <v>128</v>
      </c>
      <c r="Q17" s="120"/>
      <c r="R17" s="120"/>
      <c r="S17" s="188">
        <f>SUM(S12:S16)</f>
        <v>2022264965</v>
      </c>
      <c r="T17" s="188">
        <f>SUM(T12:T16)</f>
        <v>2389290893</v>
      </c>
      <c r="U17" s="110"/>
      <c r="V17" s="2"/>
      <c r="W17" s="2"/>
      <c r="X17" s="2"/>
      <c r="Y17" s="2"/>
      <c r="Z17" s="2"/>
    </row>
    <row r="18" spans="1:26" ht="12.75" customHeight="1" x14ac:dyDescent="0.2">
      <c r="A18" s="127"/>
      <c r="B18" s="128" t="s">
        <v>129</v>
      </c>
      <c r="C18" s="128"/>
      <c r="D18" s="129"/>
      <c r="E18" s="189">
        <f>+IF(ISERROR(E17/E19),"NA",E17/E19)</f>
        <v>0.78299492385786806</v>
      </c>
      <c r="F18" s="2"/>
      <c r="G18" s="111" t="s">
        <v>130</v>
      </c>
      <c r="H18" s="111"/>
      <c r="I18" s="168">
        <v>8189239</v>
      </c>
      <c r="J18" s="168">
        <v>8383018</v>
      </c>
      <c r="K18" s="168">
        <v>8821697</v>
      </c>
      <c r="L18" s="172">
        <v>0</v>
      </c>
      <c r="M18" s="173">
        <v>0</v>
      </c>
      <c r="N18" s="181">
        <f>K18+M18-L18</f>
        <v>8821697</v>
      </c>
      <c r="O18" s="2"/>
      <c r="P18" s="111"/>
      <c r="Q18" s="111"/>
      <c r="R18" s="111"/>
      <c r="S18" s="111"/>
      <c r="T18" s="111"/>
      <c r="U18" s="110"/>
      <c r="V18" s="2"/>
      <c r="W18" s="2"/>
      <c r="X18" s="2"/>
      <c r="Y18" s="2"/>
      <c r="Z18" s="2"/>
    </row>
    <row r="19" spans="1:26" ht="15" customHeight="1" x14ac:dyDescent="0.2">
      <c r="A19" s="24"/>
      <c r="B19" s="111" t="s">
        <v>131</v>
      </c>
      <c r="C19" s="111"/>
      <c r="D19" s="190">
        <v>0</v>
      </c>
      <c r="E19" s="191">
        <v>78800</v>
      </c>
      <c r="F19" s="2"/>
      <c r="G19" s="111" t="s">
        <v>132</v>
      </c>
      <c r="H19" s="111"/>
      <c r="I19" s="183">
        <v>21245</v>
      </c>
      <c r="J19" s="183">
        <v>21731</v>
      </c>
      <c r="K19" s="183">
        <v>20277</v>
      </c>
      <c r="L19" s="184">
        <v>0</v>
      </c>
      <c r="M19" s="185">
        <v>0</v>
      </c>
      <c r="N19" s="192">
        <f>K19+M19-L19</f>
        <v>20277</v>
      </c>
      <c r="O19" s="2"/>
      <c r="P19" s="111" t="s">
        <v>133</v>
      </c>
      <c r="Q19" s="123"/>
      <c r="R19" s="123"/>
      <c r="S19" s="168">
        <v>1514664850</v>
      </c>
      <c r="T19" s="168">
        <v>1672534846</v>
      </c>
      <c r="U19" s="110"/>
      <c r="V19" s="2"/>
      <c r="W19" s="2"/>
      <c r="X19" s="2"/>
      <c r="Y19" s="2"/>
      <c r="Z19" s="2"/>
    </row>
    <row r="20" spans="1:26" ht="15" customHeight="1" x14ac:dyDescent="0.2">
      <c r="A20" s="24"/>
      <c r="B20" s="111" t="s">
        <v>134</v>
      </c>
      <c r="C20" s="111"/>
      <c r="D20" s="190">
        <v>0</v>
      </c>
      <c r="E20" s="191">
        <v>55200</v>
      </c>
      <c r="F20" s="2"/>
      <c r="G20" s="111" t="s">
        <v>135</v>
      </c>
      <c r="H20" s="111"/>
      <c r="I20" s="183">
        <v>0</v>
      </c>
      <c r="J20" s="183">
        <v>0</v>
      </c>
      <c r="K20" s="183">
        <v>0</v>
      </c>
      <c r="L20" s="184">
        <v>0</v>
      </c>
      <c r="M20" s="185">
        <v>0</v>
      </c>
      <c r="N20" s="186">
        <f>K20+M20-L20</f>
        <v>0</v>
      </c>
      <c r="O20" s="2"/>
      <c r="P20" s="111" t="s">
        <v>136</v>
      </c>
      <c r="Q20" s="176"/>
      <c r="R20" s="176"/>
      <c r="S20" s="168">
        <v>38102621</v>
      </c>
      <c r="T20" s="168">
        <v>36797946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37598079</v>
      </c>
      <c r="J21" s="188">
        <f t="shared" si="3"/>
        <v>37146384</v>
      </c>
      <c r="K21" s="188">
        <f t="shared" si="3"/>
        <v>38369849</v>
      </c>
      <c r="L21" s="193">
        <f t="shared" si="3"/>
        <v>0</v>
      </c>
      <c r="M21" s="194">
        <f t="shared" si="3"/>
        <v>0</v>
      </c>
      <c r="N21" s="188">
        <f t="shared" si="3"/>
        <v>38369849</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0.17877092106119985</v>
      </c>
      <c r="J22" s="189">
        <f t="shared" si="4"/>
        <v>0.18403533453273269</v>
      </c>
      <c r="K22" s="189">
        <f t="shared" si="4"/>
        <v>0.18685355572903847</v>
      </c>
      <c r="L22" s="195" t="str">
        <f t="shared" si="4"/>
        <v>NA</v>
      </c>
      <c r="M22" s="196" t="str">
        <f t="shared" si="4"/>
        <v>NA</v>
      </c>
      <c r="N22" s="189">
        <f t="shared" si="4"/>
        <v>0.18685355572903847</v>
      </c>
      <c r="O22" s="2"/>
      <c r="P22" s="124" t="s">
        <v>141</v>
      </c>
      <c r="Q22" s="123"/>
      <c r="R22" s="123"/>
      <c r="S22" s="171">
        <f>SUM(S19:S21)</f>
        <v>1552767471</v>
      </c>
      <c r="T22" s="171">
        <f>SUM(T19:T21)</f>
        <v>1709332792</v>
      </c>
      <c r="U22" s="110"/>
      <c r="V22" s="2"/>
      <c r="W22" s="2"/>
      <c r="X22" s="2"/>
      <c r="Y22" s="2"/>
      <c r="Z22" s="2"/>
    </row>
    <row r="23" spans="1:26" ht="15" customHeight="1" x14ac:dyDescent="0.2">
      <c r="A23" s="24"/>
      <c r="B23" s="111" t="s">
        <v>142</v>
      </c>
      <c r="C23" s="111"/>
      <c r="D23" s="111"/>
      <c r="E23" s="197">
        <f>+T40</f>
        <v>8355.6750940000002</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515545153.29980004</v>
      </c>
      <c r="F24" s="2"/>
      <c r="G24" s="111" t="s">
        <v>144</v>
      </c>
      <c r="H24" s="111"/>
      <c r="I24" s="168">
        <v>8355.6750940000002</v>
      </c>
      <c r="J24" s="168">
        <v>8355.6750940000002</v>
      </c>
      <c r="K24" s="168">
        <v>8355.6750940000002</v>
      </c>
      <c r="L24" s="172">
        <v>0</v>
      </c>
      <c r="M24" s="173">
        <v>0</v>
      </c>
      <c r="N24" s="181">
        <f>+IF(ISERROR(K24+M24-L24),"NA",K24+M24-L24)</f>
        <v>8355.6750940000002</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4499.705718212791</v>
      </c>
      <c r="J25" s="199">
        <f>+IF(ISERROR(J21/J24),"NA",J21/J24)</f>
        <v>4445.6472495769831</v>
      </c>
      <c r="K25" s="199">
        <f>+IF(ISERROR(K21/K24),"NA",K21/K24)</f>
        <v>4592.0704872251945</v>
      </c>
      <c r="L25" s="200" t="str">
        <f>+IF(ISERROR(L21/L24),"NA",L21/L24)</f>
        <v>NA</v>
      </c>
      <c r="M25" s="201" t="str">
        <f>+IF(ISERROR(M21/M24),"NA",M21/M24)</f>
        <v>NA</v>
      </c>
      <c r="N25" s="199" t="str">
        <f>+IF(ISERROR(K25+M25-L25),"NA",K25+M25-L25)</f>
        <v>NA</v>
      </c>
      <c r="O25" s="2"/>
      <c r="P25" s="133" t="s">
        <v>147</v>
      </c>
      <c r="Q25" s="134"/>
      <c r="R25" s="134"/>
      <c r="S25" s="168">
        <v>336896883</v>
      </c>
      <c r="T25" s="168">
        <v>508387648</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1889664354</v>
      </c>
      <c r="T26" s="171">
        <f>T22+SUM(T24:T25)</f>
        <v>2217720440</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20277</v>
      </c>
      <c r="F28" s="2"/>
      <c r="G28" s="265" t="s">
        <v>152</v>
      </c>
      <c r="H28" s="263"/>
      <c r="I28" s="263"/>
      <c r="J28" s="263"/>
      <c r="K28" s="263"/>
      <c r="L28" s="263"/>
      <c r="M28" s="263"/>
      <c r="N28" s="263"/>
      <c r="O28" s="2"/>
      <c r="P28" s="111" t="s">
        <v>132</v>
      </c>
      <c r="Q28" s="136"/>
      <c r="R28" s="136"/>
      <c r="S28" s="168">
        <v>21731</v>
      </c>
      <c r="T28" s="168">
        <v>20277</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67723462</v>
      </c>
      <c r="J29" s="204">
        <f t="shared" si="5"/>
        <v>68578496</v>
      </c>
      <c r="K29" s="204">
        <f t="shared" si="5"/>
        <v>72454622</v>
      </c>
      <c r="L29" s="205">
        <f t="shared" si="5"/>
        <v>0</v>
      </c>
      <c r="M29" s="206">
        <f t="shared" si="5"/>
        <v>0</v>
      </c>
      <c r="N29" s="204">
        <f t="shared" si="5"/>
        <v>72454622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515565430.29980004</v>
      </c>
      <c r="F30" s="207"/>
      <c r="G30" s="111" t="s">
        <v>157</v>
      </c>
      <c r="H30" s="111"/>
      <c r="I30" s="209">
        <v>0</v>
      </c>
      <c r="J30" s="209">
        <v>0</v>
      </c>
      <c r="K30" s="209">
        <v>0</v>
      </c>
      <c r="L30" s="172">
        <v>0</v>
      </c>
      <c r="M30" s="173">
        <v>0</v>
      </c>
      <c r="N30" s="174">
        <f>K30+M30-L30</f>
        <v>0</v>
      </c>
      <c r="O30" s="2"/>
      <c r="P30" s="133" t="s">
        <v>158</v>
      </c>
      <c r="Q30" s="210"/>
      <c r="R30" s="210"/>
      <c r="S30" s="168">
        <v>196209168</v>
      </c>
      <c r="T30" s="168">
        <v>224558726</v>
      </c>
      <c r="U30" s="2"/>
      <c r="V30" s="2"/>
      <c r="W30" s="2"/>
      <c r="X30" s="2"/>
      <c r="Y30" s="2"/>
      <c r="Z30" s="2"/>
    </row>
    <row r="31" spans="1:26" ht="15" customHeight="1" x14ac:dyDescent="0.2">
      <c r="A31" s="24"/>
      <c r="B31" s="2"/>
      <c r="C31" s="2"/>
      <c r="D31" s="2"/>
      <c r="E31" s="2"/>
      <c r="F31" s="207"/>
      <c r="G31" s="122" t="s">
        <v>159</v>
      </c>
      <c r="H31" s="111"/>
      <c r="I31" s="171">
        <f t="shared" ref="I31:N31" si="6">SUM(I29:I30)</f>
        <v>67723462</v>
      </c>
      <c r="J31" s="171">
        <f t="shared" si="6"/>
        <v>68578496</v>
      </c>
      <c r="K31" s="171">
        <f t="shared" si="6"/>
        <v>72454622</v>
      </c>
      <c r="L31" s="177">
        <f t="shared" si="6"/>
        <v>0</v>
      </c>
      <c r="M31" s="178">
        <f t="shared" si="6"/>
        <v>0</v>
      </c>
      <c r="N31" s="171">
        <f t="shared" si="6"/>
        <v>72454622</v>
      </c>
      <c r="O31" s="2"/>
      <c r="P31" s="124" t="s">
        <v>160</v>
      </c>
      <c r="Q31" s="210"/>
      <c r="R31" s="210"/>
      <c r="S31" s="188">
        <f>S26+SUM(S28:S30)</f>
        <v>2085895253</v>
      </c>
      <c r="T31" s="188">
        <f>T26+SUM(T28:T30)</f>
        <v>2442299443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-63630288</v>
      </c>
      <c r="T32" s="211">
        <f>T17-T31</f>
        <v>-53008550</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45808563</v>
      </c>
      <c r="J34" s="204">
        <f t="shared" si="8"/>
        <v>45551133</v>
      </c>
      <c r="K34" s="204">
        <f t="shared" si="8"/>
        <v>47211823</v>
      </c>
      <c r="L34" s="213">
        <f t="shared" si="8"/>
        <v>0</v>
      </c>
      <c r="M34" s="214">
        <f t="shared" si="8"/>
        <v>0</v>
      </c>
      <c r="N34" s="204">
        <f t="shared" si="8"/>
        <v>47211823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7.1157010563080441</v>
      </c>
      <c r="D35" s="215">
        <f>IF(ISERROR($E$30/D36),"NA",$E$30/D36)</f>
        <v>6.7992651626459155</v>
      </c>
      <c r="E35" s="215">
        <f>IF(ISERROR($E$30/E36),"NA",$E$30/E36)</f>
        <v>6.5493260487749314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8355.6750940000002</v>
      </c>
      <c r="U35" s="110"/>
      <c r="V35" s="2"/>
      <c r="W35" s="2"/>
      <c r="X35" s="2"/>
      <c r="Y35" s="2"/>
      <c r="Z35" s="2"/>
    </row>
    <row r="36" spans="1:26" ht="15" customHeight="1" x14ac:dyDescent="0.2">
      <c r="A36" s="24"/>
      <c r="B36" s="111" t="s">
        <v>170</v>
      </c>
      <c r="C36" s="204">
        <f>N10</f>
        <v>72454622</v>
      </c>
      <c r="D36" s="166">
        <v>75826639.786345556</v>
      </c>
      <c r="E36" s="166">
        <v>78720379.236003667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10.920261018088627</v>
      </c>
      <c r="D37" s="215">
        <f>IF(ISERROR($E$30/D38),"NA",$E$30/D38)</f>
        <v>10.434635985932553</v>
      </c>
      <c r="E37" s="215">
        <f>IF(ISERROR($E$30/E38),"NA",$E$30/E38)</f>
        <v>10.05106164230814</v>
      </c>
      <c r="F37" s="2"/>
      <c r="G37" s="122" t="s">
        <v>174</v>
      </c>
      <c r="H37" s="111"/>
      <c r="I37" s="171">
        <f t="shared" ref="I37:N37" si="10">SUM(I34:I36)</f>
        <v>45808563</v>
      </c>
      <c r="J37" s="171">
        <f t="shared" si="10"/>
        <v>45551133</v>
      </c>
      <c r="K37" s="171">
        <f t="shared" si="10"/>
        <v>47211823</v>
      </c>
      <c r="L37" s="177">
        <f t="shared" si="10"/>
        <v>0</v>
      </c>
      <c r="M37" s="178">
        <f t="shared" si="10"/>
        <v>0</v>
      </c>
      <c r="N37" s="171">
        <f t="shared" si="10"/>
        <v>47211823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47211823</v>
      </c>
      <c r="D38" s="166">
        <v>49409048.000798412</v>
      </c>
      <c r="E38" s="166">
        <v>51294624.25437925</v>
      </c>
      <c r="F38" s="2"/>
      <c r="G38" s="128" t="s">
        <v>162</v>
      </c>
      <c r="H38" s="128"/>
      <c r="I38" s="189">
        <f t="shared" ref="I38:N38" si="11">IF(ISERROR(I37/I10),"NA",I37/I10)</f>
        <v>0.67640610280673485</v>
      </c>
      <c r="J38" s="189">
        <f t="shared" si="11"/>
        <v>0.66421889742230567</v>
      </c>
      <c r="K38" s="189">
        <f t="shared" si="11"/>
        <v>0.65160540068789541</v>
      </c>
      <c r="L38" s="195" t="str">
        <f t="shared" si="11"/>
        <v>NA</v>
      </c>
      <c r="M38" s="196" t="str">
        <f t="shared" si="11"/>
        <v>NA</v>
      </c>
      <c r="N38" s="189">
        <f t="shared" si="11"/>
        <v>0.65160540068789541</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10.920261018088627</v>
      </c>
      <c r="D39" s="215">
        <f>IF(ISERROR($E$30/D40),"NA",$E$30/D40)</f>
        <v>10.434635985932553</v>
      </c>
      <c r="E39" s="215">
        <f>IF(ISERROR($E$30/E40),"NA",$E$30/E40)</f>
        <v>10.05106164230814</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47211823</v>
      </c>
      <c r="D40" s="166">
        <v>49409048.000798412</v>
      </c>
      <c r="E40" s="166">
        <v>51294624.25437925</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8355.6750940000002</v>
      </c>
      <c r="U40" s="110"/>
      <c r="V40" s="2"/>
      <c r="W40" s="2"/>
      <c r="X40" s="2"/>
      <c r="Y40" s="2"/>
      <c r="Z40" s="2"/>
    </row>
    <row r="41" spans="1:26" ht="12.75" customHeight="1" x14ac:dyDescent="0.2">
      <c r="A41" s="24"/>
      <c r="B41" s="111" t="s">
        <v>181</v>
      </c>
      <c r="C41" s="215">
        <f>IF(ISERROR($E$17/N52),"NA",E17/N52)</f>
        <v>13.436204904006788</v>
      </c>
      <c r="D41" s="215">
        <f>IF(ISERROR($E$17/D42),"NA",$E$17/D42)</f>
        <v>15.297404050466859</v>
      </c>
      <c r="E41" s="215">
        <f>IF(ISERROR($E$17/E42),"NA",$E$17/E42)</f>
        <v>14.735075692704706</v>
      </c>
      <c r="F41" s="2"/>
      <c r="G41" s="122" t="s">
        <v>182</v>
      </c>
      <c r="H41" s="111"/>
      <c r="I41" s="171">
        <f t="shared" ref="I41:N41" si="13">I40+I37</f>
        <v>45808563</v>
      </c>
      <c r="J41" s="171">
        <f t="shared" si="13"/>
        <v>45551133</v>
      </c>
      <c r="K41" s="171">
        <f t="shared" si="13"/>
        <v>47211823</v>
      </c>
      <c r="L41" s="177">
        <f t="shared" si="13"/>
        <v>0</v>
      </c>
      <c r="M41" s="178">
        <f t="shared" si="13"/>
        <v>0</v>
      </c>
      <c r="N41" s="171">
        <f t="shared" si="13"/>
        <v>47211823</v>
      </c>
      <c r="O41" s="2"/>
      <c r="P41" s="111"/>
      <c r="Q41" s="111"/>
      <c r="R41" s="111"/>
      <c r="S41" s="111"/>
      <c r="T41" s="111"/>
      <c r="U41" s="110"/>
      <c r="V41" s="2"/>
      <c r="W41" s="2"/>
      <c r="X41" s="2"/>
      <c r="Y41" s="2"/>
      <c r="Z41" s="2"/>
    </row>
    <row r="42" spans="1:26" ht="15" customHeight="1" x14ac:dyDescent="0.2">
      <c r="A42" s="24"/>
      <c r="B42" s="111" t="s">
        <v>170</v>
      </c>
      <c r="C42" s="199">
        <f>N52</f>
        <v>4592.0704872251945</v>
      </c>
      <c r="D42" s="187">
        <v>4033.3640790586942</v>
      </c>
      <c r="E42" s="187">
        <v>4187.2876181116253</v>
      </c>
      <c r="F42" s="2"/>
      <c r="G42" s="128" t="s">
        <v>162</v>
      </c>
      <c r="H42" s="128"/>
      <c r="I42" s="189">
        <f t="shared" ref="I42:N42" si="14">IF(ISERROR(I41/I10),"NA",I41/I10)</f>
        <v>0.67640610280673485</v>
      </c>
      <c r="J42" s="189">
        <f t="shared" si="14"/>
        <v>0.66421889742230567</v>
      </c>
      <c r="K42" s="189">
        <f t="shared" si="14"/>
        <v>0.65160540068789541</v>
      </c>
      <c r="L42" s="195" t="str">
        <f t="shared" si="14"/>
        <v>NA</v>
      </c>
      <c r="M42" s="196" t="str">
        <f t="shared" si="14"/>
        <v>NA</v>
      </c>
      <c r="N42" s="189">
        <f t="shared" si="14"/>
        <v>0.65160540068789541</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37598079</v>
      </c>
      <c r="J44" s="204">
        <f t="shared" si="15"/>
        <v>37146384</v>
      </c>
      <c r="K44" s="204">
        <f t="shared" si="15"/>
        <v>38369849</v>
      </c>
      <c r="L44" s="213">
        <f t="shared" si="15"/>
        <v>0</v>
      </c>
      <c r="M44" s="214">
        <f t="shared" si="15"/>
        <v>0</v>
      </c>
      <c r="N44" s="204">
        <f t="shared" si="15"/>
        <v>38369849</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0.22440791549556774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0.18238011762370823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1.7395155013358556E-2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37598079</v>
      </c>
      <c r="J49" s="188">
        <f t="shared" si="19"/>
        <v>37146384</v>
      </c>
      <c r="K49" s="188">
        <f t="shared" si="19"/>
        <v>38369849</v>
      </c>
      <c r="L49" s="193">
        <f t="shared" si="19"/>
        <v>0</v>
      </c>
      <c r="M49" s="194">
        <f t="shared" si="19"/>
        <v>0</v>
      </c>
      <c r="N49" s="188">
        <f t="shared" si="19"/>
        <v>38369849</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0.55517065858210257</v>
      </c>
      <c r="J50" s="189">
        <f t="shared" si="20"/>
        <v>0.54166227267509626</v>
      </c>
      <c r="K50" s="189">
        <f t="shared" si="20"/>
        <v>0.52957075671445775</v>
      </c>
      <c r="L50" s="195" t="str">
        <f t="shared" si="20"/>
        <v>NA</v>
      </c>
      <c r="M50" s="196" t="str">
        <f t="shared" si="20"/>
        <v>NA</v>
      </c>
      <c r="N50" s="189">
        <f t="shared" si="20"/>
        <v>0.52957075671445775</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4499.705718212791</v>
      </c>
      <c r="J52" s="199">
        <f t="shared" si="21"/>
        <v>4445.6472495769831</v>
      </c>
      <c r="K52" s="199">
        <f t="shared" si="21"/>
        <v>4592.0704872251945</v>
      </c>
      <c r="L52" s="200">
        <f t="shared" si="21"/>
        <v>0</v>
      </c>
      <c r="M52" s="201">
        <f t="shared" si="21"/>
        <v>0</v>
      </c>
      <c r="N52" s="199">
        <f t="shared" si="21"/>
        <v>4592.0704872251945</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1008160</v>
      </c>
      <c r="J58" s="168">
        <v>1480121</v>
      </c>
      <c r="K58" s="168">
        <v>1453488</v>
      </c>
      <c r="L58" s="172">
        <v>0</v>
      </c>
      <c r="M58" s="173">
        <v>0</v>
      </c>
      <c r="N58" s="181">
        <f>K58+M58-L58</f>
        <v>1453488</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1.4886421488612026E-2</v>
      </c>
      <c r="J59" s="241">
        <f t="shared" si="23"/>
        <v>2.1582873441843928E-2</v>
      </c>
      <c r="K59" s="241">
        <f t="shared" si="23"/>
        <v>2.0060666385092726E-2</v>
      </c>
      <c r="L59" s="244" t="str">
        <f t="shared" si="23"/>
        <v>NA</v>
      </c>
      <c r="M59" s="245" t="str">
        <f t="shared" si="23"/>
        <v>NA</v>
      </c>
      <c r="N59" s="241">
        <f t="shared" si="23"/>
        <v>2.0060666385092726E-2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5.6521012067689558E-2</v>
      </c>
      <c r="D61" s="189">
        <f>IF(ISERROR(K41/J41-1),0,K41/J41-1)</f>
        <v>3.6457710063984683E-2</v>
      </c>
      <c r="E61" s="189">
        <f>IF(ISERROR(K52/J52-1),0,K52/J52-1)</f>
        <v>3.2936314877916706E-2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3.434036197821122E-2</v>
      </c>
      <c r="D62" s="189">
        <f>IF(ISERROR((K41/I41)^(1/2)-1),0,(K41/I41)^(1/2)-1)</f>
        <v>1.5201032949779147E-2</v>
      </c>
      <c r="E62" s="189">
        <f>IF(ISERROR((K52/I52)^(1/2)-1),0,(K52/I52)^(1/2)-1)</f>
        <v>1.0211288096538818E-2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4.6539719527424417E-2</v>
      </c>
      <c r="D64" s="189">
        <f>IF(ISERROR(D38/K41-1),0,D38/K41-1)</f>
        <v>4.6539719527424639E-2</v>
      </c>
      <c r="E64" s="189">
        <f>IF(ISERROR(D42/K52-1),0,D42/K52-1)</f>
        <v>-0.12166764637450156</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4.2342729069829055E-2</v>
      </c>
      <c r="D65" s="189">
        <f>IF(ISERROR((E38/K41)^(1/2)-1),0,(E38/K41)^(1/2)-1)</f>
        <v>4.2342729069829055E-2</v>
      </c>
      <c r="E65" s="189">
        <f>IF(ISERROR((E42/K52)^(1/2)-1),0,(E42/K52)^(1/2)-1)</f>
        <v>-4.5090698775551386E-2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3.8162570012487927E-2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Công thương Việt Nam (HOSE:CTG)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1685290589</v>
      </c>
      <c r="T9" s="168">
        <v>1957462503</v>
      </c>
      <c r="U9" s="110"/>
      <c r="V9" s="2"/>
      <c r="W9" s="2"/>
      <c r="X9" s="2"/>
      <c r="Y9" s="2"/>
      <c r="Z9" s="2"/>
    </row>
    <row r="10" spans="1:26" ht="15" customHeight="1" x14ac:dyDescent="0.2">
      <c r="A10" s="24"/>
      <c r="B10" s="111" t="s">
        <v>107</v>
      </c>
      <c r="C10" s="111"/>
      <c r="D10" s="121"/>
      <c r="E10" s="150">
        <v>46022</v>
      </c>
      <c r="F10" s="2"/>
      <c r="G10" s="122" t="s">
        <v>23</v>
      </c>
      <c r="H10" s="122"/>
      <c r="I10" s="166">
        <v>70548165</v>
      </c>
      <c r="J10" s="166">
        <v>81908683</v>
      </c>
      <c r="K10" s="166">
        <v>87294789</v>
      </c>
      <c r="L10" s="169">
        <v>0</v>
      </c>
      <c r="M10" s="170">
        <v>0</v>
      </c>
      <c r="N10" s="171">
        <f>K10+M10-L10</f>
        <v>87294789</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214607153</v>
      </c>
      <c r="T11" s="168">
        <v>211880390</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70548165</v>
      </c>
      <c r="J12" s="171">
        <f t="shared" si="0"/>
        <v>81908683</v>
      </c>
      <c r="K12" s="171">
        <f t="shared" si="0"/>
        <v>87294789</v>
      </c>
      <c r="L12" s="177">
        <f t="shared" si="0"/>
        <v>0</v>
      </c>
      <c r="M12" s="178">
        <f t="shared" si="0"/>
        <v>0</v>
      </c>
      <c r="N12" s="171">
        <f t="shared" si="0"/>
        <v>87294789</v>
      </c>
      <c r="O12" s="2"/>
      <c r="P12" s="124" t="s">
        <v>115</v>
      </c>
      <c r="Q12" s="120"/>
      <c r="R12" s="120"/>
      <c r="S12" s="171">
        <f>SUM(S8:S11)</f>
        <v>1899897742</v>
      </c>
      <c r="T12" s="171">
        <f>SUM(T8:T11)</f>
        <v>2169342893</v>
      </c>
      <c r="U12" s="110"/>
      <c r="V12" s="2"/>
      <c r="W12" s="2"/>
      <c r="X12" s="2"/>
      <c r="Y12" s="2"/>
      <c r="Z12" s="2"/>
    </row>
    <row r="13" spans="1:26" ht="12.75" customHeight="1" x14ac:dyDescent="0.2">
      <c r="A13" s="24"/>
      <c r="B13" s="111" t="s">
        <v>116</v>
      </c>
      <c r="C13" s="111"/>
      <c r="D13" s="179"/>
      <c r="E13" s="180">
        <v>1</v>
      </c>
      <c r="F13" s="2"/>
      <c r="G13" s="111" t="s">
        <v>117</v>
      </c>
      <c r="H13" s="125"/>
      <c r="I13" s="168">
        <v>-20443499</v>
      </c>
      <c r="J13" s="168">
        <v>-22545929</v>
      </c>
      <c r="K13" s="168">
        <v>-26552924</v>
      </c>
      <c r="L13" s="172">
        <v>0</v>
      </c>
      <c r="M13" s="173">
        <v>0</v>
      </c>
      <c r="N13" s="181">
        <f>K13+M13-L13</f>
        <v>-26552924</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40886998</v>
      </c>
      <c r="J14" s="183">
        <v>45091858</v>
      </c>
      <c r="K14" s="183">
        <v>53105848</v>
      </c>
      <c r="L14" s="184">
        <v>0</v>
      </c>
      <c r="M14" s="185">
        <v>0</v>
      </c>
      <c r="N14" s="186">
        <f>K14+M14-L14</f>
        <v>53105848</v>
      </c>
      <c r="O14" s="2"/>
      <c r="P14" s="111" t="s">
        <v>120</v>
      </c>
      <c r="Q14" s="123"/>
      <c r="R14" s="123"/>
      <c r="S14" s="168">
        <v>10002157</v>
      </c>
      <c r="T14" s="168">
        <v>10826743</v>
      </c>
      <c r="U14" s="110"/>
      <c r="V14" s="2"/>
      <c r="W14" s="2"/>
      <c r="X14" s="2"/>
      <c r="Y14" s="2"/>
      <c r="Z14" s="2"/>
    </row>
    <row r="15" spans="1:26" ht="12.75" customHeight="1" x14ac:dyDescent="0.2">
      <c r="A15" s="24"/>
      <c r="B15" s="2"/>
      <c r="C15" s="2"/>
      <c r="D15" s="2"/>
      <c r="E15" s="2"/>
      <c r="F15" s="2"/>
      <c r="G15" s="122" t="s">
        <v>121</v>
      </c>
      <c r="H15" s="125"/>
      <c r="I15" s="171">
        <f t="shared" ref="I15:N15" si="1">I12-SUM(I13:I14)</f>
        <v>50104666</v>
      </c>
      <c r="J15" s="171">
        <f t="shared" si="1"/>
        <v>59362754</v>
      </c>
      <c r="K15" s="171">
        <f t="shared" si="1"/>
        <v>60741865</v>
      </c>
      <c r="L15" s="177">
        <f t="shared" si="1"/>
        <v>0</v>
      </c>
      <c r="M15" s="178">
        <f t="shared" si="1"/>
        <v>0</v>
      </c>
      <c r="N15" s="171">
        <f t="shared" si="1"/>
        <v>60741865</v>
      </c>
      <c r="O15" s="2"/>
      <c r="P15" s="111" t="s">
        <v>122</v>
      </c>
      <c r="Q15" s="120"/>
      <c r="R15" s="120"/>
      <c r="S15" s="168">
        <v>3852941</v>
      </c>
      <c r="T15" s="168">
        <v>4097726</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426055686</v>
      </c>
      <c r="T16" s="168">
        <v>535622911</v>
      </c>
      <c r="U16" s="110"/>
      <c r="V16" s="2"/>
      <c r="W16" s="2"/>
      <c r="X16" s="2"/>
      <c r="Y16" s="2"/>
      <c r="Z16" s="2"/>
    </row>
    <row r="17" spans="1:26" ht="15" customHeight="1" x14ac:dyDescent="0.2">
      <c r="A17" s="24"/>
      <c r="B17" s="111" t="s">
        <v>126</v>
      </c>
      <c r="C17" s="111"/>
      <c r="D17" s="126">
        <v>0</v>
      </c>
      <c r="E17" s="187">
        <v>33500</v>
      </c>
      <c r="F17" s="2"/>
      <c r="G17" s="122" t="s">
        <v>127</v>
      </c>
      <c r="H17" s="111"/>
      <c r="I17" s="171">
        <f t="shared" ref="I17:N17" si="2">I15-SUM(I16)</f>
        <v>50104666</v>
      </c>
      <c r="J17" s="171">
        <f t="shared" si="2"/>
        <v>59362754</v>
      </c>
      <c r="K17" s="171">
        <f t="shared" si="2"/>
        <v>60741865</v>
      </c>
      <c r="L17" s="177">
        <f t="shared" si="2"/>
        <v>0</v>
      </c>
      <c r="M17" s="178">
        <f t="shared" si="2"/>
        <v>0</v>
      </c>
      <c r="N17" s="171">
        <f t="shared" si="2"/>
        <v>60741865</v>
      </c>
      <c r="O17" s="2"/>
      <c r="P17" s="124" t="s">
        <v>128</v>
      </c>
      <c r="Q17" s="120"/>
      <c r="R17" s="120"/>
      <c r="S17" s="188">
        <f>SUM(S12:S16)</f>
        <v>2339808526</v>
      </c>
      <c r="T17" s="188">
        <f>SUM(T12:T16)</f>
        <v>2719890273</v>
      </c>
      <c r="U17" s="110"/>
      <c r="V17" s="2"/>
      <c r="W17" s="2"/>
      <c r="X17" s="2"/>
      <c r="Y17" s="2"/>
      <c r="Z17" s="2"/>
    </row>
    <row r="18" spans="1:26" ht="12.75" customHeight="1" x14ac:dyDescent="0.2">
      <c r="A18" s="127"/>
      <c r="B18" s="128" t="s">
        <v>129</v>
      </c>
      <c r="C18" s="128"/>
      <c r="D18" s="129"/>
      <c r="E18" s="189">
        <f>+IF(ISERROR(E17/E19),"NA",E17/E19)</f>
        <v>0.77011494252873558</v>
      </c>
      <c r="F18" s="2"/>
      <c r="G18" s="111" t="s">
        <v>130</v>
      </c>
      <c r="H18" s="111"/>
      <c r="I18" s="168">
        <v>4944903</v>
      </c>
      <c r="J18" s="168">
        <v>6281358</v>
      </c>
      <c r="K18" s="168">
        <v>8572543</v>
      </c>
      <c r="L18" s="172">
        <v>0</v>
      </c>
      <c r="M18" s="173">
        <v>0</v>
      </c>
      <c r="N18" s="181">
        <f>K18+M18-L18</f>
        <v>8572543</v>
      </c>
      <c r="O18" s="2"/>
      <c r="P18" s="111"/>
      <c r="Q18" s="111"/>
      <c r="R18" s="111"/>
      <c r="S18" s="111"/>
      <c r="T18" s="111"/>
      <c r="U18" s="110"/>
      <c r="V18" s="2"/>
      <c r="W18" s="2"/>
      <c r="X18" s="2"/>
      <c r="Y18" s="2"/>
      <c r="Z18" s="2"/>
    </row>
    <row r="19" spans="1:26" ht="15" customHeight="1" x14ac:dyDescent="0.2">
      <c r="A19" s="24"/>
      <c r="B19" s="111" t="s">
        <v>131</v>
      </c>
      <c r="C19" s="111"/>
      <c r="D19" s="190">
        <v>0</v>
      </c>
      <c r="E19" s="191">
        <v>43500</v>
      </c>
      <c r="F19" s="2"/>
      <c r="G19" s="111" t="s">
        <v>132</v>
      </c>
      <c r="H19" s="111"/>
      <c r="I19" s="183">
        <v>141072</v>
      </c>
      <c r="J19" s="183">
        <v>134352</v>
      </c>
      <c r="K19" s="183">
        <v>266785</v>
      </c>
      <c r="L19" s="184">
        <v>0</v>
      </c>
      <c r="M19" s="185">
        <v>0</v>
      </c>
      <c r="N19" s="192">
        <f>K19+M19-L19</f>
        <v>266785</v>
      </c>
      <c r="O19" s="2"/>
      <c r="P19" s="111" t="s">
        <v>133</v>
      </c>
      <c r="Q19" s="123"/>
      <c r="R19" s="123"/>
      <c r="S19" s="168">
        <v>1606316685</v>
      </c>
      <c r="T19" s="168">
        <v>1793732057</v>
      </c>
      <c r="U19" s="110"/>
      <c r="V19" s="2"/>
      <c r="W19" s="2"/>
      <c r="X19" s="2"/>
      <c r="Y19" s="2"/>
      <c r="Z19" s="2"/>
    </row>
    <row r="20" spans="1:26" ht="15" customHeight="1" x14ac:dyDescent="0.2">
      <c r="A20" s="24"/>
      <c r="B20" s="111" t="s">
        <v>134</v>
      </c>
      <c r="C20" s="111"/>
      <c r="D20" s="190">
        <v>0</v>
      </c>
      <c r="E20" s="191">
        <v>25754</v>
      </c>
      <c r="F20" s="2"/>
      <c r="G20" s="111" t="s">
        <v>135</v>
      </c>
      <c r="H20" s="111"/>
      <c r="I20" s="183">
        <v>0</v>
      </c>
      <c r="J20" s="183">
        <v>0</v>
      </c>
      <c r="K20" s="183">
        <v>0</v>
      </c>
      <c r="L20" s="184">
        <v>0</v>
      </c>
      <c r="M20" s="185">
        <v>0</v>
      </c>
      <c r="N20" s="186">
        <f>K20+M20-L20</f>
        <v>0</v>
      </c>
      <c r="O20" s="2"/>
      <c r="P20" s="111" t="s">
        <v>136</v>
      </c>
      <c r="Q20" s="176"/>
      <c r="R20" s="176"/>
      <c r="S20" s="168">
        <v>45892099</v>
      </c>
      <c r="T20" s="168">
        <v>55851516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45018691</v>
      </c>
      <c r="J21" s="188">
        <f t="shared" si="3"/>
        <v>52947044</v>
      </c>
      <c r="K21" s="188">
        <f t="shared" si="3"/>
        <v>51902537</v>
      </c>
      <c r="L21" s="193">
        <f t="shared" si="3"/>
        <v>0</v>
      </c>
      <c r="M21" s="194">
        <f t="shared" si="3"/>
        <v>0</v>
      </c>
      <c r="N21" s="188">
        <f t="shared" si="3"/>
        <v>51902537</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9.8691467177927109E-2</v>
      </c>
      <c r="J22" s="189">
        <f t="shared" si="4"/>
        <v>0.10581311641976718</v>
      </c>
      <c r="K22" s="189">
        <f t="shared" si="4"/>
        <v>0.14113071766894217</v>
      </c>
      <c r="L22" s="195" t="str">
        <f t="shared" si="4"/>
        <v>NA</v>
      </c>
      <c r="M22" s="196" t="str">
        <f t="shared" si="4"/>
        <v>NA</v>
      </c>
      <c r="N22" s="189">
        <f t="shared" si="4"/>
        <v>0.14113071766894217</v>
      </c>
      <c r="O22" s="2"/>
      <c r="P22" s="124" t="s">
        <v>141</v>
      </c>
      <c r="Q22" s="123"/>
      <c r="R22" s="123"/>
      <c r="S22" s="171">
        <f>SUM(S19:S21)</f>
        <v>1652208784</v>
      </c>
      <c r="T22" s="171">
        <f>SUM(T19:T21)</f>
        <v>1849583573</v>
      </c>
      <c r="U22" s="110"/>
      <c r="V22" s="2"/>
      <c r="W22" s="2"/>
      <c r="X22" s="2"/>
      <c r="Y22" s="2"/>
      <c r="Z22" s="2"/>
    </row>
    <row r="23" spans="1:26" ht="15" customHeight="1" x14ac:dyDescent="0.2">
      <c r="A23" s="24"/>
      <c r="B23" s="111" t="s">
        <v>142</v>
      </c>
      <c r="C23" s="111"/>
      <c r="D23" s="111"/>
      <c r="E23" s="197">
        <f>+T40</f>
        <v>7766.9446369999996</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260192645.33949998</v>
      </c>
      <c r="F24" s="2"/>
      <c r="G24" s="111" t="s">
        <v>144</v>
      </c>
      <c r="H24" s="111"/>
      <c r="I24" s="168">
        <v>7766.9446369999996</v>
      </c>
      <c r="J24" s="168">
        <v>7766.9446369999996</v>
      </c>
      <c r="K24" s="168">
        <v>7766.9446369999996</v>
      </c>
      <c r="L24" s="172">
        <v>0</v>
      </c>
      <c r="M24" s="173">
        <v>0</v>
      </c>
      <c r="N24" s="181">
        <f>+IF(ISERROR(K24+M24-L24),"NA",K24+M24-L24)</f>
        <v>7766.9446369999996</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5796.1905361782747</v>
      </c>
      <c r="J25" s="199">
        <f>+IF(ISERROR(J21/J24),"NA",J21/J24)</f>
        <v>6816.9719850675956</v>
      </c>
      <c r="K25" s="199">
        <f>+IF(ISERROR(K21/K24),"NA",K21/K24)</f>
        <v>6682.490918339734</v>
      </c>
      <c r="L25" s="200" t="str">
        <f>+IF(ISERROR(L21/L24),"NA",L21/L24)</f>
        <v>NA</v>
      </c>
      <c r="M25" s="201" t="str">
        <f>+IF(ISERROR(M21/M24),"NA",M21/M24)</f>
        <v>NA</v>
      </c>
      <c r="N25" s="199" t="str">
        <f>+IF(ISERROR(K25+M25-L25),"NA",K25+M25-L25)</f>
        <v>NA</v>
      </c>
      <c r="O25" s="2"/>
      <c r="P25" s="133" t="s">
        <v>147</v>
      </c>
      <c r="Q25" s="134"/>
      <c r="R25" s="134"/>
      <c r="S25" s="168">
        <v>584674240</v>
      </c>
      <c r="T25" s="168">
        <v>738460722</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2236883024</v>
      </c>
      <c r="T26" s="171">
        <f>T22+SUM(T24:T25)</f>
        <v>2588044295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266785</v>
      </c>
      <c r="F28" s="2"/>
      <c r="G28" s="265" t="s">
        <v>152</v>
      </c>
      <c r="H28" s="263"/>
      <c r="I28" s="263"/>
      <c r="J28" s="263"/>
      <c r="K28" s="263"/>
      <c r="L28" s="263"/>
      <c r="M28" s="263"/>
      <c r="N28" s="263"/>
      <c r="O28" s="2"/>
      <c r="P28" s="111" t="s">
        <v>132</v>
      </c>
      <c r="Q28" s="136"/>
      <c r="R28" s="136"/>
      <c r="S28" s="168">
        <v>134352</v>
      </c>
      <c r="T28" s="168">
        <v>266785</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70548165</v>
      </c>
      <c r="J29" s="204">
        <f t="shared" si="5"/>
        <v>81908683</v>
      </c>
      <c r="K29" s="204">
        <f t="shared" si="5"/>
        <v>87294789</v>
      </c>
      <c r="L29" s="205">
        <f t="shared" si="5"/>
        <v>0</v>
      </c>
      <c r="M29" s="206">
        <f t="shared" si="5"/>
        <v>0</v>
      </c>
      <c r="N29" s="204">
        <f t="shared" si="5"/>
        <v>87294789</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260459430.33949998</v>
      </c>
      <c r="F30" s="207"/>
      <c r="G30" s="111" t="s">
        <v>157</v>
      </c>
      <c r="H30" s="111"/>
      <c r="I30" s="209">
        <v>0</v>
      </c>
      <c r="J30" s="209">
        <v>0</v>
      </c>
      <c r="K30" s="209">
        <v>0</v>
      </c>
      <c r="L30" s="172">
        <v>0</v>
      </c>
      <c r="M30" s="173">
        <v>0</v>
      </c>
      <c r="N30" s="174">
        <f>K30+M30-L30</f>
        <v>0</v>
      </c>
      <c r="O30" s="2"/>
      <c r="P30" s="133" t="s">
        <v>158</v>
      </c>
      <c r="Q30" s="210"/>
      <c r="R30" s="210"/>
      <c r="S30" s="168">
        <v>148504708</v>
      </c>
      <c r="T30" s="168">
        <v>179655005</v>
      </c>
      <c r="U30" s="2"/>
      <c r="V30" s="2"/>
      <c r="W30" s="2"/>
      <c r="X30" s="2"/>
      <c r="Y30" s="2"/>
      <c r="Z30" s="2"/>
    </row>
    <row r="31" spans="1:26" ht="15" customHeight="1" x14ac:dyDescent="0.2">
      <c r="A31" s="24"/>
      <c r="B31" s="2"/>
      <c r="C31" s="2"/>
      <c r="D31" s="2"/>
      <c r="E31" s="2"/>
      <c r="F31" s="207"/>
      <c r="G31" s="122" t="s">
        <v>159</v>
      </c>
      <c r="H31" s="111"/>
      <c r="I31" s="171">
        <f t="shared" ref="I31:N31" si="6">SUM(I29:I30)</f>
        <v>70548165</v>
      </c>
      <c r="J31" s="171">
        <f t="shared" si="6"/>
        <v>81908683</v>
      </c>
      <c r="K31" s="171">
        <f t="shared" si="6"/>
        <v>87294789</v>
      </c>
      <c r="L31" s="177">
        <f t="shared" si="6"/>
        <v>0</v>
      </c>
      <c r="M31" s="178">
        <f t="shared" si="6"/>
        <v>0</v>
      </c>
      <c r="N31" s="171">
        <f t="shared" si="6"/>
        <v>87294789</v>
      </c>
      <c r="O31" s="2"/>
      <c r="P31" s="124" t="s">
        <v>160</v>
      </c>
      <c r="Q31" s="210"/>
      <c r="R31" s="210"/>
      <c r="S31" s="188">
        <f>S26+SUM(S28:S30)</f>
        <v>2385522084</v>
      </c>
      <c r="T31" s="188">
        <f>T26+SUM(T28:T30)</f>
        <v>2767966085</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-45713558</v>
      </c>
      <c r="T32" s="211">
        <f>T17-T31</f>
        <v>-48075812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50104666</v>
      </c>
      <c r="J34" s="204">
        <f t="shared" si="8"/>
        <v>59362754</v>
      </c>
      <c r="K34" s="204">
        <f t="shared" si="8"/>
        <v>60741865</v>
      </c>
      <c r="L34" s="213">
        <f t="shared" si="8"/>
        <v>0</v>
      </c>
      <c r="M34" s="214">
        <f t="shared" si="8"/>
        <v>0</v>
      </c>
      <c r="N34" s="204">
        <f t="shared" si="8"/>
        <v>60741865</v>
      </c>
      <c r="O34" s="2"/>
      <c r="P34" s="265" t="s">
        <v>167</v>
      </c>
      <c r="Q34" s="263"/>
      <c r="R34" s="263"/>
      <c r="S34" s="263"/>
      <c r="T34" s="263"/>
      <c r="U34" s="110"/>
      <c r="V34" s="2"/>
      <c r="W34" s="2"/>
      <c r="X34" s="2"/>
      <c r="Y34" s="2"/>
      <c r="Z34" s="2"/>
    </row>
    <row r="35" spans="1:26" ht="12.75" customHeight="1" x14ac:dyDescent="0.2">
      <c r="A35" s="24"/>
      <c r="B35" s="111" t="s">
        <v>168</v>
      </c>
      <c r="C35" s="215">
        <f>IF(ISERROR(E30/N10),"NA",E30/N10)</f>
        <v>2.9836767271354536</v>
      </c>
      <c r="D35" s="215">
        <f>IF(ISERROR($E$30/D36),"NA",$E$30/D36)</f>
        <v>2.7455410245651053</v>
      </c>
      <c r="E35" s="215">
        <f>IF(ISERROR($E$30/E36),"NA",$E$30/E36)</f>
        <v>2.5632358501239549</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7766.9446369999996</v>
      </c>
      <c r="U35" s="110"/>
      <c r="V35" s="2"/>
      <c r="W35" s="2"/>
      <c r="X35" s="2"/>
      <c r="Y35" s="2"/>
      <c r="Z35" s="2"/>
    </row>
    <row r="36" spans="1:26" ht="15" customHeight="1" x14ac:dyDescent="0.2">
      <c r="A36" s="24"/>
      <c r="B36" s="111" t="s">
        <v>170</v>
      </c>
      <c r="C36" s="204">
        <f>N10</f>
        <v>87294789</v>
      </c>
      <c r="D36" s="166">
        <v>94866340.735431865</v>
      </c>
      <c r="E36" s="166">
        <v>101613525.0788196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4.2879722303472239</v>
      </c>
      <c r="D37" s="215">
        <f>IF(ISERROR($E$30/D38),"NA",$E$30/D38)</f>
        <v>3.9457370041281195</v>
      </c>
      <c r="E37" s="215">
        <f>IF(ISERROR($E$30/E38),"NA",$E$30/E38)</f>
        <v>3.6837382700351133</v>
      </c>
      <c r="F37" s="2"/>
      <c r="G37" s="122" t="s">
        <v>174</v>
      </c>
      <c r="H37" s="111"/>
      <c r="I37" s="171">
        <f t="shared" ref="I37:N37" si="10">SUM(I34:I36)</f>
        <v>50104666</v>
      </c>
      <c r="J37" s="171">
        <f t="shared" si="10"/>
        <v>59362754</v>
      </c>
      <c r="K37" s="171">
        <f t="shared" si="10"/>
        <v>60741865</v>
      </c>
      <c r="L37" s="177">
        <f t="shared" si="10"/>
        <v>0</v>
      </c>
      <c r="M37" s="178">
        <f t="shared" si="10"/>
        <v>0</v>
      </c>
      <c r="N37" s="171">
        <f t="shared" si="10"/>
        <v>60741865</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60741865</v>
      </c>
      <c r="D38" s="166">
        <v>66010337.249289908</v>
      </c>
      <c r="E38" s="166">
        <v>70705194.356008708</v>
      </c>
      <c r="F38" s="2"/>
      <c r="G38" s="128" t="s">
        <v>162</v>
      </c>
      <c r="H38" s="128"/>
      <c r="I38" s="189">
        <f t="shared" ref="I38:N38" si="11">IF(ISERROR(I37/I10),"NA",I37/I10)</f>
        <v>0.7102192665110425</v>
      </c>
      <c r="J38" s="189">
        <f t="shared" si="11"/>
        <v>0.72474311423124704</v>
      </c>
      <c r="K38" s="189">
        <f t="shared" si="11"/>
        <v>0.69582463851307319</v>
      </c>
      <c r="L38" s="195" t="str">
        <f t="shared" si="11"/>
        <v>NA</v>
      </c>
      <c r="M38" s="196" t="str">
        <f t="shared" si="11"/>
        <v>NA</v>
      </c>
      <c r="N38" s="189">
        <f t="shared" si="11"/>
        <v>0.69582463851307319</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4.2879722303472239</v>
      </c>
      <c r="D39" s="215">
        <f>IF(ISERROR($E$30/D40),"NA",$E$30/D40)</f>
        <v>3.9457370041281195</v>
      </c>
      <c r="E39" s="215">
        <f>IF(ISERROR($E$30/E40),"NA",$E$30/E40)</f>
        <v>3.6837382700351133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60741865</v>
      </c>
      <c r="D40" s="166">
        <v>66010337.249289908</v>
      </c>
      <c r="E40" s="166">
        <v>70705194.356008708</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7766.9446369999996</v>
      </c>
      <c r="U40" s="110"/>
      <c r="V40" s="2"/>
      <c r="W40" s="2"/>
      <c r="X40" s="2"/>
      <c r="Y40" s="2"/>
      <c r="Z40" s="2"/>
    </row>
    <row r="41" spans="1:26" ht="12.75" customHeight="1" x14ac:dyDescent="0.2">
      <c r="A41" s="24"/>
      <c r="B41" s="111" t="s">
        <v>181</v>
      </c>
      <c r="C41" s="215">
        <f>IF(ISERROR($E$17/N52),"NA",E17/N52)</f>
        <v>5.0131007148937634</v>
      </c>
      <c r="D41" s="215">
        <f>IF(ISERROR($E$17/D42),"NA",$E$17/D42)</f>
        <v>6.9194769875949449</v>
      </c>
      <c r="E41" s="215">
        <f>IF(ISERROR($E$17/E42),"NA",$E$17/E42)</f>
        <v>6.4600205642603745</v>
      </c>
      <c r="F41" s="2"/>
      <c r="G41" s="122" t="s">
        <v>182</v>
      </c>
      <c r="H41" s="111"/>
      <c r="I41" s="171">
        <f t="shared" ref="I41:N41" si="13">I40+I37</f>
        <v>50104666</v>
      </c>
      <c r="J41" s="171">
        <f t="shared" si="13"/>
        <v>59362754</v>
      </c>
      <c r="K41" s="171">
        <f t="shared" si="13"/>
        <v>60741865</v>
      </c>
      <c r="L41" s="177">
        <f t="shared" si="13"/>
        <v>0</v>
      </c>
      <c r="M41" s="178">
        <f t="shared" si="13"/>
        <v>0</v>
      </c>
      <c r="N41" s="171">
        <f t="shared" si="13"/>
        <v>60741865</v>
      </c>
      <c r="O41" s="2"/>
      <c r="P41" s="111"/>
      <c r="Q41" s="111"/>
      <c r="R41" s="111"/>
      <c r="S41" s="111"/>
      <c r="T41" s="111"/>
      <c r="U41" s="110"/>
      <c r="V41" s="2"/>
      <c r="W41" s="2"/>
      <c r="X41" s="2"/>
      <c r="Y41" s="2"/>
      <c r="Z41" s="2"/>
    </row>
    <row r="42" spans="1:26" ht="15" customHeight="1" x14ac:dyDescent="0.2">
      <c r="A42" s="24"/>
      <c r="B42" s="111" t="s">
        <v>170</v>
      </c>
      <c r="C42" s="199">
        <f>N52</f>
        <v>6682.490918339734</v>
      </c>
      <c r="D42" s="187">
        <v>4841.4063750855612</v>
      </c>
      <c r="E42" s="187">
        <v>5185.7420060450704</v>
      </c>
      <c r="F42" s="2"/>
      <c r="G42" s="128" t="s">
        <v>162</v>
      </c>
      <c r="H42" s="128"/>
      <c r="I42" s="189">
        <f t="shared" ref="I42:N42" si="14">IF(ISERROR(I41/I10),"NA",I41/I10)</f>
        <v>0.7102192665110425</v>
      </c>
      <c r="J42" s="189">
        <f t="shared" si="14"/>
        <v>0.72474311423124704</v>
      </c>
      <c r="K42" s="189">
        <f t="shared" si="14"/>
        <v>0.69582463851307319</v>
      </c>
      <c r="L42" s="195" t="str">
        <f t="shared" si="14"/>
        <v>NA</v>
      </c>
      <c r="M42" s="196" t="str">
        <f t="shared" si="14"/>
        <v>NA</v>
      </c>
      <c r="N42" s="189">
        <f t="shared" si="14"/>
        <v>0.69582463851307319</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45018691</v>
      </c>
      <c r="J44" s="204">
        <f t="shared" si="15"/>
        <v>52947044</v>
      </c>
      <c r="K44" s="204">
        <f t="shared" si="15"/>
        <v>51902537</v>
      </c>
      <c r="L44" s="213">
        <f t="shared" si="15"/>
        <v>0</v>
      </c>
      <c r="M44" s="214">
        <f t="shared" si="15"/>
        <v>0</v>
      </c>
      <c r="N44" s="204">
        <f t="shared" si="15"/>
        <v>51902537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0.37019696564641985</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0.31632485612272582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2.0516057995490968E-2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45018691</v>
      </c>
      <c r="J49" s="188">
        <f t="shared" si="19"/>
        <v>52947044</v>
      </c>
      <c r="K49" s="188">
        <f t="shared" si="19"/>
        <v>51902537</v>
      </c>
      <c r="L49" s="193">
        <f t="shared" si="19"/>
        <v>0</v>
      </c>
      <c r="M49" s="194">
        <f t="shared" si="19"/>
        <v>0</v>
      </c>
      <c r="N49" s="188">
        <f t="shared" si="19"/>
        <v>51902537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0.6381270299518067</v>
      </c>
      <c r="J50" s="189">
        <f t="shared" si="20"/>
        <v>0.64641552105043609</v>
      </c>
      <c r="K50" s="189">
        <f t="shared" si="20"/>
        <v>0.59456626901291898</v>
      </c>
      <c r="L50" s="195" t="str">
        <f t="shared" si="20"/>
        <v>NA</v>
      </c>
      <c r="M50" s="196" t="str">
        <f t="shared" si="20"/>
        <v>NA</v>
      </c>
      <c r="N50" s="189">
        <f t="shared" si="20"/>
        <v>0.59456626901291898</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5796.1905361782747</v>
      </c>
      <c r="J52" s="199">
        <f t="shared" si="21"/>
        <v>6816.9719850675956</v>
      </c>
      <c r="K52" s="199">
        <f t="shared" si="21"/>
        <v>6682.490918339734</v>
      </c>
      <c r="L52" s="200">
        <f t="shared" si="21"/>
        <v>0</v>
      </c>
      <c r="M52" s="201">
        <f t="shared" si="21"/>
        <v>0</v>
      </c>
      <c r="N52" s="199">
        <f t="shared" si="21"/>
        <v>6682.490918339734</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804101</v>
      </c>
      <c r="J58" s="168">
        <v>1362079</v>
      </c>
      <c r="K58" s="168">
        <v>2004950</v>
      </c>
      <c r="L58" s="172">
        <v>0</v>
      </c>
      <c r="M58" s="173">
        <v>0</v>
      </c>
      <c r="N58" s="181">
        <f>K58+M58-L58</f>
        <v>2004950</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1.1397900994306515E-2</v>
      </c>
      <c r="J59" s="241">
        <f t="shared" si="23"/>
        <v>1.662923819688323E-2</v>
      </c>
      <c r="K59" s="241">
        <f t="shared" si="23"/>
        <v>2.2967579427908349E-2</v>
      </c>
      <c r="L59" s="244" t="str">
        <f t="shared" si="23"/>
        <v>NA</v>
      </c>
      <c r="M59" s="245" t="str">
        <f t="shared" si="23"/>
        <v>NA</v>
      </c>
      <c r="N59" s="241">
        <f t="shared" si="23"/>
        <v>2.2967579427908349E-2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6.5757448450245448E-2</v>
      </c>
      <c r="D61" s="189">
        <f>IF(ISERROR(K41/J41-1),0,K41/J41-1)</f>
        <v>2.32319241792589E-2</v>
      </c>
      <c r="E61" s="189">
        <f>IF(ISERROR(K52/J52-1),0,K52/J52-1)</f>
        <v>-1.972739025808512E-2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0.1123752024044633</v>
      </c>
      <c r="D62" s="189">
        <f>IF(ISERROR((K41/I41)^(1/2)-1),0,(K41/I41)^(1/2)-1)</f>
        <v>0.10104476251698435</v>
      </c>
      <c r="E62" s="189">
        <f>IF(ISERROR((K52/I52)^(1/2)-1),0,(K52/I52)^(1/2)-1)</f>
        <v>7.3736859378187303E-2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8.6735437729643428E-2</v>
      </c>
      <c r="D64" s="189">
        <f>IF(ISERROR(D38/K41-1),0,D38/K41-1)</f>
        <v>8.6735437729643428E-2</v>
      </c>
      <c r="E64" s="189">
        <f>IF(ISERROR(D42/K52-1),0,D42/K52-1)</f>
        <v>-0.275508723581115</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7.8901008581249377E-2</v>
      </c>
      <c r="D65" s="189">
        <f>IF(ISERROR((E38/K41)^(1/2)-1),0,(E38/K41)^(1/2)-1)</f>
        <v>7.8901008581248933E-2</v>
      </c>
      <c r="E65" s="189">
        <f>IF(ISERROR((E42/K52)^(1/2)-1),0,(E42/K52)^(1/2)-1)</f>
        <v>-0.11908041673946468</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7.1123058938307657E-2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Quân đội (HOSE:MBB)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765047985</v>
      </c>
      <c r="T9" s="168">
        <v>1070868777</v>
      </c>
      <c r="U9" s="110"/>
      <c r="V9" s="2"/>
      <c r="W9" s="2"/>
      <c r="X9" s="2"/>
      <c r="Y9" s="2"/>
      <c r="Z9" s="2"/>
    </row>
    <row r="10" spans="1:26" ht="15" customHeight="1" x14ac:dyDescent="0.2">
      <c r="A10" s="24"/>
      <c r="B10" s="111" t="s">
        <v>107</v>
      </c>
      <c r="C10" s="111"/>
      <c r="D10" s="121"/>
      <c r="E10" s="150">
        <v>46022</v>
      </c>
      <c r="F10" s="2"/>
      <c r="G10" s="122" t="s">
        <v>23</v>
      </c>
      <c r="H10" s="122"/>
      <c r="I10" s="166">
        <v>47306062</v>
      </c>
      <c r="J10" s="166">
        <v>55413222</v>
      </c>
      <c r="K10" s="166">
        <v>67693015</v>
      </c>
      <c r="L10" s="169">
        <v>0</v>
      </c>
      <c r="M10" s="170">
        <v>0</v>
      </c>
      <c r="N10" s="171">
        <f>K10+M10-L10</f>
        <v>67693015</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209637377</v>
      </c>
      <c r="T11" s="168">
        <v>225574850</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47306062</v>
      </c>
      <c r="J12" s="171">
        <f t="shared" si="0"/>
        <v>55413222</v>
      </c>
      <c r="K12" s="171">
        <f t="shared" si="0"/>
        <v>67693015</v>
      </c>
      <c r="L12" s="177">
        <f t="shared" si="0"/>
        <v>0</v>
      </c>
      <c r="M12" s="178">
        <f t="shared" si="0"/>
        <v>0</v>
      </c>
      <c r="N12" s="171">
        <f t="shared" si="0"/>
        <v>67693015</v>
      </c>
      <c r="O12" s="2"/>
      <c r="P12" s="124" t="s">
        <v>115</v>
      </c>
      <c r="Q12" s="120"/>
      <c r="R12" s="120"/>
      <c r="S12" s="171">
        <f>SUM(S8:S11)</f>
        <v>974685362</v>
      </c>
      <c r="T12" s="171">
        <f>SUM(T8:T11)</f>
        <v>1296443627</v>
      </c>
      <c r="U12" s="110"/>
      <c r="V12" s="2"/>
      <c r="W12" s="2"/>
      <c r="X12" s="2"/>
      <c r="Y12" s="2"/>
      <c r="Z12" s="2"/>
    </row>
    <row r="13" spans="1:26" ht="12.75" customHeight="1" x14ac:dyDescent="0.2">
      <c r="A13" s="24"/>
      <c r="B13" s="111" t="s">
        <v>116</v>
      </c>
      <c r="C13" s="111"/>
      <c r="D13" s="179"/>
      <c r="E13" s="180">
        <v>1</v>
      </c>
      <c r="F13" s="2"/>
      <c r="G13" s="111" t="s">
        <v>117</v>
      </c>
      <c r="H13" s="125"/>
      <c r="I13" s="168">
        <v>-14912941</v>
      </c>
      <c r="J13" s="168">
        <v>-17007250</v>
      </c>
      <c r="K13" s="168">
        <v>-19681153</v>
      </c>
      <c r="L13" s="172">
        <v>0</v>
      </c>
      <c r="M13" s="173">
        <v>0</v>
      </c>
      <c r="N13" s="181">
        <f>K13+M13-L13</f>
        <v>-19681153</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29825882</v>
      </c>
      <c r="J14" s="183">
        <v>34014500</v>
      </c>
      <c r="K14" s="183">
        <v>39362306</v>
      </c>
      <c r="L14" s="184">
        <v>0</v>
      </c>
      <c r="M14" s="185">
        <v>0</v>
      </c>
      <c r="N14" s="186">
        <f>K14+M14-L14</f>
        <v>39362306</v>
      </c>
      <c r="O14" s="2"/>
      <c r="P14" s="111" t="s">
        <v>120</v>
      </c>
      <c r="Q14" s="123"/>
      <c r="R14" s="123"/>
      <c r="S14" s="168">
        <v>5430416</v>
      </c>
      <c r="T14" s="168">
        <v>5616547</v>
      </c>
      <c r="U14" s="110"/>
      <c r="V14" s="2"/>
      <c r="W14" s="2"/>
      <c r="X14" s="2"/>
      <c r="Y14" s="2"/>
      <c r="Z14" s="2"/>
    </row>
    <row r="15" spans="1:26" ht="12.75" customHeight="1" x14ac:dyDescent="0.2">
      <c r="A15" s="24"/>
      <c r="B15" s="2"/>
      <c r="C15" s="2"/>
      <c r="D15" s="2"/>
      <c r="E15" s="2"/>
      <c r="F15" s="2"/>
      <c r="G15" s="122" t="s">
        <v>121</v>
      </c>
      <c r="H15" s="125"/>
      <c r="I15" s="171">
        <f t="shared" ref="I15:N15" si="1">I12-SUM(I13:I14)</f>
        <v>32393121</v>
      </c>
      <c r="J15" s="171">
        <f t="shared" si="1"/>
        <v>38405972</v>
      </c>
      <c r="K15" s="171">
        <f t="shared" si="1"/>
        <v>48011862</v>
      </c>
      <c r="L15" s="177">
        <f t="shared" si="1"/>
        <v>0</v>
      </c>
      <c r="M15" s="178">
        <f t="shared" si="1"/>
        <v>0</v>
      </c>
      <c r="N15" s="171">
        <f t="shared" si="1"/>
        <v>48011862</v>
      </c>
      <c r="O15" s="2"/>
      <c r="P15" s="111" t="s">
        <v>122</v>
      </c>
      <c r="Q15" s="120"/>
      <c r="R15" s="120"/>
      <c r="S15" s="168">
        <v>1689243</v>
      </c>
      <c r="T15" s="168">
        <v>1811014</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113821622</v>
      </c>
      <c r="T16" s="168">
        <v>238432527</v>
      </c>
      <c r="U16" s="110"/>
      <c r="V16" s="2"/>
      <c r="W16" s="2"/>
      <c r="X16" s="2"/>
      <c r="Y16" s="2"/>
      <c r="Z16" s="2"/>
    </row>
    <row r="17" spans="1:26" ht="15" customHeight="1" x14ac:dyDescent="0.2">
      <c r="A17" s="24"/>
      <c r="B17" s="111" t="s">
        <v>126</v>
      </c>
      <c r="C17" s="111"/>
      <c r="D17" s="126">
        <v>0</v>
      </c>
      <c r="E17" s="187">
        <v>24700</v>
      </c>
      <c r="F17" s="2"/>
      <c r="G17" s="122" t="s">
        <v>127</v>
      </c>
      <c r="H17" s="111"/>
      <c r="I17" s="171">
        <f t="shared" ref="I17:N17" si="2">I15-SUM(I16)</f>
        <v>32393121</v>
      </c>
      <c r="J17" s="171">
        <f t="shared" si="2"/>
        <v>38405972</v>
      </c>
      <c r="K17" s="171">
        <f t="shared" si="2"/>
        <v>48011862</v>
      </c>
      <c r="L17" s="177">
        <f t="shared" si="2"/>
        <v>0</v>
      </c>
      <c r="M17" s="178">
        <f t="shared" si="2"/>
        <v>0</v>
      </c>
      <c r="N17" s="171">
        <f t="shared" si="2"/>
        <v>48011862</v>
      </c>
      <c r="O17" s="2"/>
      <c r="P17" s="124" t="s">
        <v>128</v>
      </c>
      <c r="Q17" s="120"/>
      <c r="R17" s="120"/>
      <c r="S17" s="188">
        <f>SUM(S12:S16)</f>
        <v>1095626643</v>
      </c>
      <c r="T17" s="188">
        <f>SUM(T12:T16)</f>
        <v>1542303715</v>
      </c>
      <c r="U17" s="110"/>
      <c r="V17" s="2"/>
      <c r="W17" s="2"/>
      <c r="X17" s="2"/>
      <c r="Y17" s="2"/>
      <c r="Z17" s="2"/>
    </row>
    <row r="18" spans="1:26" ht="12.75" customHeight="1" x14ac:dyDescent="0.2">
      <c r="A18" s="127"/>
      <c r="B18" s="128" t="s">
        <v>129</v>
      </c>
      <c r="C18" s="128"/>
      <c r="D18" s="129"/>
      <c r="E18" s="189">
        <f>+IF(ISERROR(E17/E19),"NA",E17/E19)</f>
        <v>0.83728813559322035</v>
      </c>
      <c r="F18" s="2"/>
      <c r="G18" s="111" t="s">
        <v>130</v>
      </c>
      <c r="H18" s="111"/>
      <c r="I18" s="168">
        <v>5252297</v>
      </c>
      <c r="J18" s="168">
        <v>5878064</v>
      </c>
      <c r="K18" s="168">
        <v>6885380</v>
      </c>
      <c r="L18" s="172">
        <v>0</v>
      </c>
      <c r="M18" s="173">
        <v>0</v>
      </c>
      <c r="N18" s="181">
        <f>K18+M18-L18</f>
        <v>6885380</v>
      </c>
      <c r="O18" s="2"/>
      <c r="P18" s="111"/>
      <c r="Q18" s="111"/>
      <c r="R18" s="111"/>
      <c r="S18" s="111"/>
      <c r="T18" s="111"/>
      <c r="U18" s="110"/>
      <c r="V18" s="2"/>
      <c r="W18" s="2"/>
      <c r="X18" s="2"/>
      <c r="Y18" s="2"/>
      <c r="Z18" s="2"/>
    </row>
    <row r="19" spans="1:26" ht="15" customHeight="1" x14ac:dyDescent="0.2">
      <c r="A19" s="24"/>
      <c r="B19" s="111" t="s">
        <v>131</v>
      </c>
      <c r="C19" s="111"/>
      <c r="D19" s="190">
        <v>0</v>
      </c>
      <c r="E19" s="191">
        <v>29500</v>
      </c>
      <c r="F19" s="2"/>
      <c r="G19" s="111" t="s">
        <v>132</v>
      </c>
      <c r="H19" s="111"/>
      <c r="I19" s="183">
        <v>377004</v>
      </c>
      <c r="J19" s="183">
        <v>317507</v>
      </c>
      <c r="K19" s="183">
        <v>604039</v>
      </c>
      <c r="L19" s="184">
        <v>0</v>
      </c>
      <c r="M19" s="185">
        <v>0</v>
      </c>
      <c r="N19" s="192">
        <f>K19+M19-L19</f>
        <v>604039</v>
      </c>
      <c r="O19" s="2"/>
      <c r="P19" s="111" t="s">
        <v>133</v>
      </c>
      <c r="Q19" s="123"/>
      <c r="R19" s="123"/>
      <c r="S19" s="168">
        <v>714154479</v>
      </c>
      <c r="T19" s="168">
        <v>921368132</v>
      </c>
      <c r="U19" s="110"/>
      <c r="V19" s="2"/>
      <c r="W19" s="2"/>
      <c r="X19" s="2"/>
      <c r="Y19" s="2"/>
      <c r="Z19" s="2"/>
    </row>
    <row r="20" spans="1:26" ht="15" customHeight="1" x14ac:dyDescent="0.2">
      <c r="A20" s="24"/>
      <c r="B20" s="111" t="s">
        <v>134</v>
      </c>
      <c r="C20" s="111"/>
      <c r="D20" s="190">
        <v>0</v>
      </c>
      <c r="E20" s="191">
        <v>18127</v>
      </c>
      <c r="F20" s="2"/>
      <c r="G20" s="111" t="s">
        <v>135</v>
      </c>
      <c r="H20" s="111"/>
      <c r="I20" s="183">
        <v>0</v>
      </c>
      <c r="J20" s="183">
        <v>0</v>
      </c>
      <c r="K20" s="183">
        <v>0</v>
      </c>
      <c r="L20" s="184">
        <v>0</v>
      </c>
      <c r="M20" s="185">
        <v>0</v>
      </c>
      <c r="N20" s="186">
        <f>K20+M20-L20</f>
        <v>0</v>
      </c>
      <c r="O20" s="2"/>
      <c r="P20" s="111" t="s">
        <v>136</v>
      </c>
      <c r="Q20" s="176"/>
      <c r="R20" s="176"/>
      <c r="S20" s="168">
        <v>47312101</v>
      </c>
      <c r="T20" s="168">
        <v>65033537</v>
      </c>
      <c r="U20" s="110"/>
      <c r="V20" s="2"/>
      <c r="W20" s="2"/>
      <c r="X20" s="2"/>
      <c r="Y20" s="2"/>
      <c r="Z20" s="2"/>
    </row>
    <row r="21" spans="1:26" ht="15" customHeight="1" x14ac:dyDescent="0.2">
      <c r="A21" s="24"/>
      <c r="B21" s="111" t="s">
        <v>137</v>
      </c>
      <c r="C21" s="111"/>
      <c r="D21" s="111"/>
      <c r="E21" s="191">
        <v>500</v>
      </c>
      <c r="F21" s="2"/>
      <c r="G21" s="122" t="s">
        <v>138</v>
      </c>
      <c r="H21" s="111"/>
      <c r="I21" s="188">
        <f t="shared" ref="I21:N21" si="3">I17-SUM(I18:I20)</f>
        <v>26763820</v>
      </c>
      <c r="J21" s="188">
        <f t="shared" si="3"/>
        <v>32210401</v>
      </c>
      <c r="K21" s="188">
        <f t="shared" si="3"/>
        <v>40522443</v>
      </c>
      <c r="L21" s="193">
        <f t="shared" si="3"/>
        <v>0</v>
      </c>
      <c r="M21" s="194">
        <f t="shared" si="3"/>
        <v>0</v>
      </c>
      <c r="N21" s="188">
        <f t="shared" si="3"/>
        <v>40522443</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0.16214235732333418</v>
      </c>
      <c r="J22" s="189">
        <f t="shared" si="4"/>
        <v>0.15305078074836903</v>
      </c>
      <c r="K22" s="189">
        <f t="shared" si="4"/>
        <v>0.14340997647622997</v>
      </c>
      <c r="L22" s="195" t="str">
        <f t="shared" si="4"/>
        <v>NA</v>
      </c>
      <c r="M22" s="196" t="str">
        <f t="shared" si="4"/>
        <v>NA</v>
      </c>
      <c r="N22" s="189">
        <f t="shared" si="4"/>
        <v>0.14340997647622997</v>
      </c>
      <c r="O22" s="2"/>
      <c r="P22" s="124" t="s">
        <v>141</v>
      </c>
      <c r="Q22" s="123"/>
      <c r="R22" s="123"/>
      <c r="S22" s="171">
        <f>SUM(S19:S21)</f>
        <v>761466580</v>
      </c>
      <c r="T22" s="171">
        <f>SUM(T19:T21)</f>
        <v>986401669</v>
      </c>
      <c r="U22" s="110"/>
      <c r="V22" s="2"/>
      <c r="W22" s="2"/>
      <c r="X22" s="2"/>
      <c r="Y22" s="2"/>
      <c r="Z22" s="2"/>
    </row>
    <row r="23" spans="1:26" ht="15" customHeight="1" x14ac:dyDescent="0.2">
      <c r="A23" s="24"/>
      <c r="B23" s="111" t="s">
        <v>142</v>
      </c>
      <c r="C23" s="111"/>
      <c r="D23" s="111"/>
      <c r="E23" s="197">
        <f>+T40</f>
        <v>8054.9999090000001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198958497.75229999</v>
      </c>
      <c r="F24" s="2"/>
      <c r="G24" s="111" t="s">
        <v>144</v>
      </c>
      <c r="H24" s="111"/>
      <c r="I24" s="168">
        <v>8054.9999090000001</v>
      </c>
      <c r="J24" s="168">
        <v>8054.9999090000001</v>
      </c>
      <c r="K24" s="168">
        <v>8054.9999090000001</v>
      </c>
      <c r="L24" s="172">
        <v>0</v>
      </c>
      <c r="M24" s="173">
        <v>0</v>
      </c>
      <c r="N24" s="181">
        <f>+IF(ISERROR(K24+M24-L24),"NA",K24+M24-L24)</f>
        <v>8054.9999090000001</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3322.6344261154231</v>
      </c>
      <c r="J25" s="199">
        <f>+IF(ISERROR(J21/J24),"NA",J21/J24)</f>
        <v>3998.8083629908829</v>
      </c>
      <c r="K25" s="199">
        <f>+IF(ISERROR(K21/K24),"NA",K21/K24)</f>
        <v>5030.7192374668466</v>
      </c>
      <c r="L25" s="200" t="str">
        <f>+IF(ISERROR(L21/L24),"NA",L21/L24)</f>
        <v>NA</v>
      </c>
      <c r="M25" s="201" t="str">
        <f>+IF(ISERROR(M21/M24),"NA",M21/M24)</f>
        <v>NA</v>
      </c>
      <c r="N25" s="199" t="str">
        <f>+IF(ISERROR(K25+M25-L25),"NA",K25+M25-L25)</f>
        <v>NA</v>
      </c>
      <c r="O25" s="2"/>
      <c r="P25" s="133" t="s">
        <v>147</v>
      </c>
      <c r="Q25" s="134"/>
      <c r="R25" s="134"/>
      <c r="S25" s="168">
        <v>250274901</v>
      </c>
      <c r="T25" s="168">
        <v>487339733</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1011741481</v>
      </c>
      <c r="T26" s="171">
        <f>T22+SUM(T24:T25)</f>
        <v>1473741402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604039</v>
      </c>
      <c r="F28" s="2"/>
      <c r="G28" s="265" t="s">
        <v>152</v>
      </c>
      <c r="H28" s="263"/>
      <c r="I28" s="263"/>
      <c r="J28" s="263"/>
      <c r="K28" s="263"/>
      <c r="L28" s="263"/>
      <c r="M28" s="263"/>
      <c r="N28" s="263"/>
      <c r="O28" s="2"/>
      <c r="P28" s="111" t="s">
        <v>132</v>
      </c>
      <c r="Q28" s="136"/>
      <c r="R28" s="136"/>
      <c r="S28" s="168">
        <v>317507</v>
      </c>
      <c r="T28" s="168">
        <v>604039</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47306062</v>
      </c>
      <c r="J29" s="204">
        <f t="shared" si="5"/>
        <v>55413222</v>
      </c>
      <c r="K29" s="204">
        <f t="shared" si="5"/>
        <v>67693015</v>
      </c>
      <c r="L29" s="205">
        <f t="shared" si="5"/>
        <v>0</v>
      </c>
      <c r="M29" s="206">
        <f t="shared" si="5"/>
        <v>0</v>
      </c>
      <c r="N29" s="204">
        <f t="shared" si="5"/>
        <v>67693015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199562536.75229999</v>
      </c>
      <c r="F30" s="207"/>
      <c r="G30" s="111" t="s">
        <v>157</v>
      </c>
      <c r="H30" s="111"/>
      <c r="I30" s="209">
        <v>0</v>
      </c>
      <c r="J30" s="209">
        <v>0</v>
      </c>
      <c r="K30" s="209">
        <v>0</v>
      </c>
      <c r="L30" s="172">
        <v>0</v>
      </c>
      <c r="M30" s="173">
        <v>0</v>
      </c>
      <c r="N30" s="174">
        <f>K30+M30-L30</f>
        <v>0</v>
      </c>
      <c r="O30" s="2"/>
      <c r="P30" s="133" t="s">
        <v>158</v>
      </c>
      <c r="Q30" s="210"/>
      <c r="R30" s="210"/>
      <c r="S30" s="168">
        <v>117059581</v>
      </c>
      <c r="T30" s="168">
        <v>142022525</v>
      </c>
      <c r="U30" s="2"/>
      <c r="V30" s="2"/>
      <c r="W30" s="2"/>
      <c r="X30" s="2"/>
      <c r="Y30" s="2"/>
      <c r="Z30" s="2"/>
    </row>
    <row r="31" spans="1:26" ht="15" customHeight="1" x14ac:dyDescent="0.2">
      <c r="A31" s="24"/>
      <c r="B31" s="2"/>
      <c r="C31" s="2"/>
      <c r="D31" s="2"/>
      <c r="E31" s="2"/>
      <c r="F31" s="207"/>
      <c r="G31" s="122" t="s">
        <v>159</v>
      </c>
      <c r="H31" s="111"/>
      <c r="I31" s="171">
        <f t="shared" ref="I31:N31" si="6">SUM(I29:I30)</f>
        <v>47306062</v>
      </c>
      <c r="J31" s="171">
        <f t="shared" si="6"/>
        <v>55413222</v>
      </c>
      <c r="K31" s="171">
        <f t="shared" si="6"/>
        <v>67693015</v>
      </c>
      <c r="L31" s="177">
        <f t="shared" si="6"/>
        <v>0</v>
      </c>
      <c r="M31" s="178">
        <f t="shared" si="6"/>
        <v>0</v>
      </c>
      <c r="N31" s="171">
        <f t="shared" si="6"/>
        <v>67693015</v>
      </c>
      <c r="O31" s="2"/>
      <c r="P31" s="124" t="s">
        <v>160</v>
      </c>
      <c r="Q31" s="210"/>
      <c r="R31" s="210"/>
      <c r="S31" s="188">
        <f>S26+SUM(S28:S30)</f>
        <v>1129118569</v>
      </c>
      <c r="T31" s="188">
        <f>T26+SUM(T28:T30)</f>
        <v>1616367966</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-33491926</v>
      </c>
      <c r="T32" s="211">
        <f>T17-T31</f>
        <v>-74064251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32393121</v>
      </c>
      <c r="J34" s="204">
        <f t="shared" si="8"/>
        <v>38405972</v>
      </c>
      <c r="K34" s="204">
        <f t="shared" si="8"/>
        <v>48011862</v>
      </c>
      <c r="L34" s="213">
        <f t="shared" si="8"/>
        <v>0</v>
      </c>
      <c r="M34" s="214">
        <f t="shared" si="8"/>
        <v>0</v>
      </c>
      <c r="N34" s="204">
        <f t="shared" si="8"/>
        <v>48011862</v>
      </c>
      <c r="O34" s="2"/>
      <c r="P34" s="265" t="s">
        <v>167</v>
      </c>
      <c r="Q34" s="263"/>
      <c r="R34" s="263"/>
      <c r="S34" s="263"/>
      <c r="T34" s="263"/>
      <c r="U34" s="110"/>
      <c r="V34" s="2"/>
      <c r="W34" s="2"/>
      <c r="X34" s="2"/>
      <c r="Y34" s="2"/>
      <c r="Z34" s="2"/>
    </row>
    <row r="35" spans="1:26" ht="12.75" customHeight="1" x14ac:dyDescent="0.2">
      <c r="A35" s="24"/>
      <c r="B35" s="111" t="s">
        <v>168</v>
      </c>
      <c r="C35" s="215">
        <f>IF(ISERROR(E30/N10),"NA",E30/N10)</f>
        <v>2.9480521255006886</v>
      </c>
      <c r="D35" s="215">
        <f>IF(ISERROR($E$30/D36),"NA",$E$30/D36)</f>
        <v>2.6321893977684714</v>
      </c>
      <c r="E35" s="215">
        <f>IF(ISERROR($E$30/E36),"NA",$E$30/E36)</f>
        <v>2.3963851035765398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8054.9999090000001</v>
      </c>
      <c r="U35" s="110"/>
      <c r="V35" s="2"/>
      <c r="W35" s="2"/>
      <c r="X35" s="2"/>
      <c r="Y35" s="2"/>
      <c r="Z35" s="2"/>
    </row>
    <row r="36" spans="1:26" ht="15" customHeight="1" x14ac:dyDescent="0.2">
      <c r="A36" s="24"/>
      <c r="B36" s="111" t="s">
        <v>170</v>
      </c>
      <c r="C36" s="204">
        <f>N10</f>
        <v>67693015</v>
      </c>
      <c r="D36" s="166">
        <v>75816176.800000012</v>
      </c>
      <c r="E36" s="166">
        <v>83276488.597120017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4.1565256676006443</v>
      </c>
      <c r="D37" s="215">
        <f>IF(ISERROR($E$30/D38),"NA",$E$30/D38)</f>
        <v>3.7111836317862883</v>
      </c>
      <c r="E37" s="215">
        <f>IF(ISERROR($E$30/E38),"NA",$E$30/E38)</f>
        <v>3.3787178002424332</v>
      </c>
      <c r="F37" s="2"/>
      <c r="G37" s="122" t="s">
        <v>174</v>
      </c>
      <c r="H37" s="111"/>
      <c r="I37" s="171">
        <f t="shared" ref="I37:N37" si="10">SUM(I34:I36)</f>
        <v>32393121</v>
      </c>
      <c r="J37" s="171">
        <f t="shared" si="10"/>
        <v>38405972</v>
      </c>
      <c r="K37" s="171">
        <f t="shared" si="10"/>
        <v>48011862</v>
      </c>
      <c r="L37" s="177">
        <f t="shared" si="10"/>
        <v>0</v>
      </c>
      <c r="M37" s="178">
        <f t="shared" si="10"/>
        <v>0</v>
      </c>
      <c r="N37" s="171">
        <f t="shared" si="10"/>
        <v>48011862</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48011862</v>
      </c>
      <c r="D38" s="166">
        <v>53773285.440000013</v>
      </c>
      <c r="E38" s="166">
        <v>59064576.72729601</v>
      </c>
      <c r="F38" s="2"/>
      <c r="G38" s="128" t="s">
        <v>162</v>
      </c>
      <c r="H38" s="128"/>
      <c r="I38" s="189">
        <f t="shared" ref="I38:N38" si="11">IF(ISERROR(I37/I10),"NA",I37/I10)</f>
        <v>0.68475623694908272</v>
      </c>
      <c r="J38" s="189">
        <f t="shared" si="11"/>
        <v>0.69308317787404605</v>
      </c>
      <c r="K38" s="189">
        <f t="shared" si="11"/>
        <v>0.70925873223404212</v>
      </c>
      <c r="L38" s="195" t="str">
        <f t="shared" si="11"/>
        <v>NA</v>
      </c>
      <c r="M38" s="196" t="str">
        <f t="shared" si="11"/>
        <v>NA</v>
      </c>
      <c r="N38" s="189">
        <f t="shared" si="11"/>
        <v>0.70925873223404212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4.1565256676006443</v>
      </c>
      <c r="D39" s="215">
        <f>IF(ISERROR($E$30/D40),"NA",$E$30/D40)</f>
        <v>3.7111836317862883</v>
      </c>
      <c r="E39" s="215">
        <f>IF(ISERROR($E$30/E40),"NA",$E$30/E40)</f>
        <v>3.3787178002424332</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48011862</v>
      </c>
      <c r="D40" s="166">
        <v>53773285.440000013</v>
      </c>
      <c r="E40" s="166">
        <v>59064576.72729601</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8054.9999090000001</v>
      </c>
      <c r="U40" s="110"/>
      <c r="V40" s="2"/>
      <c r="W40" s="2"/>
      <c r="X40" s="2"/>
      <c r="Y40" s="2"/>
      <c r="Z40" s="2"/>
    </row>
    <row r="41" spans="1:26" ht="12.75" customHeight="1" x14ac:dyDescent="0.2">
      <c r="A41" s="24"/>
      <c r="B41" s="111" t="s">
        <v>181</v>
      </c>
      <c r="C41" s="215">
        <f>IF(ISERROR($E$17/N52),"NA",E17/N52)</f>
        <v>4.9098347242366414</v>
      </c>
      <c r="D41" s="215">
        <f>IF(ISERROR($E$17/D42),"NA",$E$17/D42)</f>
        <v>6.6326530612244898</v>
      </c>
      <c r="E41" s="215">
        <f>IF(ISERROR($E$17/E42),"NA",$E$17/E42)</f>
        <v>6.0384678270434158</v>
      </c>
      <c r="F41" s="2"/>
      <c r="G41" s="122" t="s">
        <v>182</v>
      </c>
      <c r="H41" s="111"/>
      <c r="I41" s="171">
        <f t="shared" ref="I41:N41" si="13">I40+I37</f>
        <v>32393121</v>
      </c>
      <c r="J41" s="171">
        <f t="shared" si="13"/>
        <v>38405972</v>
      </c>
      <c r="K41" s="171">
        <f t="shared" si="13"/>
        <v>48011862</v>
      </c>
      <c r="L41" s="177">
        <f t="shared" si="13"/>
        <v>0</v>
      </c>
      <c r="M41" s="178">
        <f t="shared" si="13"/>
        <v>0</v>
      </c>
      <c r="N41" s="171">
        <f t="shared" si="13"/>
        <v>48011862</v>
      </c>
      <c r="O41" s="2"/>
      <c r="P41" s="111"/>
      <c r="Q41" s="111"/>
      <c r="R41" s="111"/>
      <c r="S41" s="111"/>
      <c r="T41" s="111"/>
      <c r="U41" s="110"/>
      <c r="V41" s="2"/>
      <c r="W41" s="2"/>
      <c r="X41" s="2"/>
      <c r="Y41" s="2"/>
      <c r="Z41" s="2"/>
    </row>
    <row r="42" spans="1:26" ht="15" customHeight="1" x14ac:dyDescent="0.2">
      <c r="A42" s="24"/>
      <c r="B42" s="111" t="s">
        <v>170</v>
      </c>
      <c r="C42" s="199">
        <f>N52</f>
        <v>5030.7192374668466</v>
      </c>
      <c r="D42" s="187">
        <v>3724</v>
      </c>
      <c r="E42" s="187">
        <v>4090.441600000001</v>
      </c>
      <c r="F42" s="2"/>
      <c r="G42" s="128" t="s">
        <v>162</v>
      </c>
      <c r="H42" s="128"/>
      <c r="I42" s="189">
        <f t="shared" ref="I42:N42" si="14">IF(ISERROR(I41/I10),"NA",I41/I10)</f>
        <v>0.68475623694908272</v>
      </c>
      <c r="J42" s="189">
        <f t="shared" si="14"/>
        <v>0.69308317787404605</v>
      </c>
      <c r="K42" s="189">
        <f t="shared" si="14"/>
        <v>0.70925873223404212</v>
      </c>
      <c r="L42" s="195" t="str">
        <f t="shared" si="14"/>
        <v>NA</v>
      </c>
      <c r="M42" s="196" t="str">
        <f t="shared" si="14"/>
        <v>NA</v>
      </c>
      <c r="N42" s="189">
        <f t="shared" si="14"/>
        <v>0.70925873223404212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26763820</v>
      </c>
      <c r="J44" s="204">
        <f t="shared" si="15"/>
        <v>32210401</v>
      </c>
      <c r="K44" s="204">
        <f t="shared" si="15"/>
        <v>40522443</v>
      </c>
      <c r="L44" s="213">
        <f t="shared" si="15"/>
        <v>0</v>
      </c>
      <c r="M44" s="214">
        <f t="shared" si="15"/>
        <v>0</v>
      </c>
      <c r="N44" s="204">
        <f t="shared" si="15"/>
        <v>40522443</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0.37063047495839024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0.31281545163910318</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3.0722905839502834E-2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8.0971659919028341E-2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26763820</v>
      </c>
      <c r="J49" s="188">
        <f t="shared" si="19"/>
        <v>32210401</v>
      </c>
      <c r="K49" s="188">
        <f t="shared" si="19"/>
        <v>40522443</v>
      </c>
      <c r="L49" s="193">
        <f t="shared" si="19"/>
        <v>0</v>
      </c>
      <c r="M49" s="194">
        <f t="shared" si="19"/>
        <v>0</v>
      </c>
      <c r="N49" s="188">
        <f t="shared" si="19"/>
        <v>40522443</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0.56575878161238613</v>
      </c>
      <c r="J50" s="189">
        <f t="shared" si="20"/>
        <v>0.58127645059152133</v>
      </c>
      <c r="K50" s="189">
        <f t="shared" si="20"/>
        <v>0.59862074395711284</v>
      </c>
      <c r="L50" s="195" t="str">
        <f t="shared" si="20"/>
        <v>NA</v>
      </c>
      <c r="M50" s="196" t="str">
        <f t="shared" si="20"/>
        <v>NA</v>
      </c>
      <c r="N50" s="189">
        <f t="shared" si="20"/>
        <v>0.59862074395711284</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3322.6344261154231</v>
      </c>
      <c r="J52" s="199">
        <f t="shared" si="21"/>
        <v>3998.8083629908829</v>
      </c>
      <c r="K52" s="199">
        <f t="shared" si="21"/>
        <v>5030.7192374668466</v>
      </c>
      <c r="L52" s="200">
        <f t="shared" si="21"/>
        <v>0</v>
      </c>
      <c r="M52" s="201">
        <f t="shared" si="21"/>
        <v>0</v>
      </c>
      <c r="N52" s="199">
        <f t="shared" si="21"/>
        <v>5030.7192374668466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1655386</v>
      </c>
      <c r="J58" s="168">
        <v>2301696</v>
      </c>
      <c r="K58" s="168">
        <v>1780261</v>
      </c>
      <c r="L58" s="172">
        <v>0</v>
      </c>
      <c r="M58" s="173">
        <v>0</v>
      </c>
      <c r="N58" s="181">
        <f>K58+M58-L58</f>
        <v>1780261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3.4993105111983322E-2</v>
      </c>
      <c r="J59" s="241">
        <f t="shared" si="23"/>
        <v>4.1536945821342063E-2</v>
      </c>
      <c r="K59" s="241">
        <f t="shared" si="23"/>
        <v>2.6299035432237727E-2</v>
      </c>
      <c r="L59" s="244" t="str">
        <f t="shared" si="23"/>
        <v>NA</v>
      </c>
      <c r="M59" s="245" t="str">
        <f t="shared" si="23"/>
        <v>NA</v>
      </c>
      <c r="N59" s="241">
        <f t="shared" si="23"/>
        <v>2.6299035432237727E-2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0.22160402439692106</v>
      </c>
      <c r="D61" s="189">
        <f>IF(ISERROR(K41/J41-1),0,K41/J41-1)</f>
        <v>0.25011448740315689</v>
      </c>
      <c r="E61" s="189">
        <f>IF(ISERROR(K52/J52-1),0,K52/J52-1)</f>
        <v>0.25805459547057485</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0.19622680690347516</v>
      </c>
      <c r="D62" s="189">
        <f>IF(ISERROR((K41/I41)^(1/2)-1),0,(K41/I41)^(1/2)-1)</f>
        <v>0.21744087232279452</v>
      </c>
      <c r="E62" s="189">
        <f>IF(ISERROR((K52/I52)^(1/2)-1),0,(K52/I52)^(1/2)-1)</f>
        <v>0.2304777353089138</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0.12000000000000011</v>
      </c>
      <c r="D64" s="189">
        <f>IF(ISERROR(D38/K41-1),0,D38/K41-1)</f>
        <v>0.12000000000000033</v>
      </c>
      <c r="E64" s="189">
        <f>IF(ISERROR(D42/K52-1),0,D42/K52-1)</f>
        <v>-0.25974799542278337</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0.10914742031886826</v>
      </c>
      <c r="D65" s="189">
        <f>IF(ISERROR((E38/K41)^(1/2)-1),0,(E38/K41)^(1/2)-1)</f>
        <v>0.10914742031886826</v>
      </c>
      <c r="E65" s="189">
        <f>IF(ISERROR((E42/K52)^(1/2)-1),0,(E42/K52)^(1/2)-1)</f>
        <v>-9.8283413800314468E-2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9.8399999999999987E-2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Kỹ thương Việt Nam (HOSE:TCB)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623634271</v>
      </c>
      <c r="T9" s="168">
        <v>757118751</v>
      </c>
      <c r="U9" s="110"/>
      <c r="V9" s="2"/>
      <c r="W9" s="2"/>
      <c r="X9" s="2"/>
      <c r="Y9" s="2"/>
      <c r="Z9" s="2"/>
    </row>
    <row r="10" spans="1:26" ht="15" customHeight="1" x14ac:dyDescent="0.2">
      <c r="A10" s="24"/>
      <c r="B10" s="111" t="s">
        <v>107</v>
      </c>
      <c r="C10" s="111"/>
      <c r="D10" s="121"/>
      <c r="E10" s="150">
        <v>46022</v>
      </c>
      <c r="F10" s="2"/>
      <c r="G10" s="122" t="s">
        <v>23</v>
      </c>
      <c r="H10" s="122"/>
      <c r="I10" s="166">
        <v>40061092</v>
      </c>
      <c r="J10" s="166">
        <v>46990397</v>
      </c>
      <c r="K10" s="166">
        <v>53391125</v>
      </c>
      <c r="L10" s="169">
        <v>0</v>
      </c>
      <c r="M10" s="170">
        <v>0</v>
      </c>
      <c r="N10" s="171">
        <f>K10+M10-L10</f>
        <v>53391125</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148623636</v>
      </c>
      <c r="T11" s="168">
        <v>145526404</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40061092</v>
      </c>
      <c r="J12" s="171">
        <f t="shared" si="0"/>
        <v>46990397</v>
      </c>
      <c r="K12" s="171">
        <f t="shared" si="0"/>
        <v>53391125</v>
      </c>
      <c r="L12" s="177">
        <f t="shared" si="0"/>
        <v>0</v>
      </c>
      <c r="M12" s="178">
        <f t="shared" si="0"/>
        <v>0</v>
      </c>
      <c r="N12" s="171">
        <f t="shared" si="0"/>
        <v>53391125</v>
      </c>
      <c r="O12" s="2"/>
      <c r="P12" s="124" t="s">
        <v>115</v>
      </c>
      <c r="Q12" s="120"/>
      <c r="R12" s="120"/>
      <c r="S12" s="171">
        <f>SUM(S8:S11)</f>
        <v>772257907</v>
      </c>
      <c r="T12" s="171">
        <f>SUM(T8:T11)</f>
        <v>902645155</v>
      </c>
      <c r="U12" s="110"/>
      <c r="V12" s="2"/>
      <c r="W12" s="2"/>
      <c r="X12" s="2"/>
      <c r="Y12" s="2"/>
      <c r="Z12" s="2"/>
    </row>
    <row r="13" spans="1:26" ht="12.75" customHeight="1" x14ac:dyDescent="0.2">
      <c r="A13" s="24"/>
      <c r="B13" s="111" t="s">
        <v>116</v>
      </c>
      <c r="C13" s="111"/>
      <c r="D13" s="179"/>
      <c r="E13" s="180">
        <v>1</v>
      </c>
      <c r="F13" s="2"/>
      <c r="G13" s="111" t="s">
        <v>117</v>
      </c>
      <c r="H13" s="125"/>
      <c r="I13" s="168">
        <v>-13251796</v>
      </c>
      <c r="J13" s="168">
        <v>-15369735</v>
      </c>
      <c r="K13" s="168">
        <v>-16432434</v>
      </c>
      <c r="L13" s="172">
        <v>0</v>
      </c>
      <c r="M13" s="173">
        <v>0</v>
      </c>
      <c r="N13" s="181">
        <f>K13+M13-L13</f>
        <v>-16432434</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26503592</v>
      </c>
      <c r="J14" s="183">
        <v>30739470</v>
      </c>
      <c r="K14" s="183">
        <v>32864868</v>
      </c>
      <c r="L14" s="184">
        <v>0</v>
      </c>
      <c r="M14" s="185">
        <v>0</v>
      </c>
      <c r="N14" s="186">
        <f>K14+M14-L14</f>
        <v>32864868</v>
      </c>
      <c r="O14" s="2"/>
      <c r="P14" s="111" t="s">
        <v>120</v>
      </c>
      <c r="Q14" s="123"/>
      <c r="R14" s="123"/>
      <c r="S14" s="168">
        <v>12466885</v>
      </c>
      <c r="T14" s="168">
        <v>12122934</v>
      </c>
      <c r="U14" s="110"/>
      <c r="V14" s="2"/>
      <c r="W14" s="2"/>
      <c r="X14" s="2"/>
      <c r="Y14" s="2"/>
      <c r="Z14" s="2"/>
    </row>
    <row r="15" spans="1:26" ht="12.75" customHeight="1" x14ac:dyDescent="0.2">
      <c r="A15" s="24"/>
      <c r="B15" s="2"/>
      <c r="C15" s="2"/>
      <c r="D15" s="2"/>
      <c r="E15" s="2"/>
      <c r="F15" s="2"/>
      <c r="G15" s="122" t="s">
        <v>121</v>
      </c>
      <c r="H15" s="125"/>
      <c r="I15" s="171">
        <f t="shared" ref="I15:N15" si="1">I12-SUM(I13:I14)</f>
        <v>26809296</v>
      </c>
      <c r="J15" s="171">
        <f t="shared" si="1"/>
        <v>31620662</v>
      </c>
      <c r="K15" s="171">
        <f t="shared" si="1"/>
        <v>36958691</v>
      </c>
      <c r="L15" s="177">
        <f t="shared" si="1"/>
        <v>0</v>
      </c>
      <c r="M15" s="178">
        <f t="shared" si="1"/>
        <v>0</v>
      </c>
      <c r="N15" s="171">
        <f t="shared" si="1"/>
        <v>36958691</v>
      </c>
      <c r="O15" s="2"/>
      <c r="P15" s="111" t="s">
        <v>122</v>
      </c>
      <c r="Q15" s="120"/>
      <c r="R15" s="120"/>
      <c r="S15" s="168">
        <v>5890186</v>
      </c>
      <c r="T15" s="168">
        <v>5779202</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130445648</v>
      </c>
      <c r="T16" s="168">
        <v>185273253</v>
      </c>
      <c r="U16" s="110"/>
      <c r="V16" s="2"/>
      <c r="W16" s="2"/>
      <c r="X16" s="2"/>
      <c r="Y16" s="2"/>
      <c r="Z16" s="2"/>
    </row>
    <row r="17" spans="1:26" ht="15" customHeight="1" x14ac:dyDescent="0.2">
      <c r="A17" s="24"/>
      <c r="B17" s="111" t="s">
        <v>126</v>
      </c>
      <c r="C17" s="111"/>
      <c r="D17" s="126">
        <v>0</v>
      </c>
      <c r="E17" s="187">
        <v>30950</v>
      </c>
      <c r="F17" s="2"/>
      <c r="G17" s="122" t="s">
        <v>127</v>
      </c>
      <c r="H17" s="111"/>
      <c r="I17" s="171">
        <f t="shared" ref="I17:N17" si="2">I15-SUM(I16)</f>
        <v>26809296</v>
      </c>
      <c r="J17" s="171">
        <f t="shared" si="2"/>
        <v>31620662</v>
      </c>
      <c r="K17" s="171">
        <f t="shared" si="2"/>
        <v>36958691</v>
      </c>
      <c r="L17" s="177">
        <f t="shared" si="2"/>
        <v>0</v>
      </c>
      <c r="M17" s="178">
        <f t="shared" si="2"/>
        <v>0</v>
      </c>
      <c r="N17" s="171">
        <f t="shared" si="2"/>
        <v>36958691</v>
      </c>
      <c r="O17" s="2"/>
      <c r="P17" s="124" t="s">
        <v>128</v>
      </c>
      <c r="Q17" s="120"/>
      <c r="R17" s="120"/>
      <c r="S17" s="188">
        <f>SUM(S12:S16)</f>
        <v>921060626</v>
      </c>
      <c r="T17" s="188">
        <f>SUM(T12:T16)</f>
        <v>1105820544</v>
      </c>
      <c r="U17" s="110"/>
      <c r="V17" s="2"/>
      <c r="W17" s="2"/>
      <c r="X17" s="2"/>
      <c r="Y17" s="2"/>
      <c r="Z17" s="2"/>
    </row>
    <row r="18" spans="1:26" ht="12.75" customHeight="1" x14ac:dyDescent="0.2">
      <c r="A18" s="127"/>
      <c r="B18" s="128" t="s">
        <v>129</v>
      </c>
      <c r="C18" s="128"/>
      <c r="D18" s="129"/>
      <c r="E18" s="189">
        <f>+IF(ISERROR(E17/E19),"NA",E17/E19)</f>
        <v>0.75240063206515129</v>
      </c>
      <c r="F18" s="2"/>
      <c r="G18" s="111" t="s">
        <v>130</v>
      </c>
      <c r="H18" s="111"/>
      <c r="I18" s="168">
        <v>4697362</v>
      </c>
      <c r="J18" s="168">
        <v>5778264</v>
      </c>
      <c r="K18" s="168">
        <v>6583594</v>
      </c>
      <c r="L18" s="172">
        <v>0</v>
      </c>
      <c r="M18" s="173">
        <v>0</v>
      </c>
      <c r="N18" s="181">
        <f>K18+M18-L18</f>
        <v>6583594</v>
      </c>
      <c r="O18" s="2"/>
      <c r="P18" s="111"/>
      <c r="Q18" s="111"/>
      <c r="R18" s="111"/>
      <c r="S18" s="111"/>
      <c r="T18" s="111"/>
      <c r="U18" s="110"/>
      <c r="V18" s="2"/>
      <c r="W18" s="2"/>
      <c r="X18" s="2"/>
      <c r="Y18" s="2"/>
      <c r="Z18" s="2"/>
    </row>
    <row r="19" spans="1:26" ht="15" customHeight="1" x14ac:dyDescent="0.2">
      <c r="A19" s="24"/>
      <c r="B19" s="111" t="s">
        <v>131</v>
      </c>
      <c r="C19" s="111"/>
      <c r="D19" s="190">
        <v>0</v>
      </c>
      <c r="E19" s="191">
        <v>41135</v>
      </c>
      <c r="F19" s="2"/>
      <c r="G19" s="111" t="s">
        <v>132</v>
      </c>
      <c r="H19" s="111"/>
      <c r="I19" s="183">
        <v>187064</v>
      </c>
      <c r="J19" s="183">
        <v>237176</v>
      </c>
      <c r="K19" s="183">
        <v>664242</v>
      </c>
      <c r="L19" s="184">
        <v>0</v>
      </c>
      <c r="M19" s="185">
        <v>0</v>
      </c>
      <c r="N19" s="192">
        <f>K19+M19-L19</f>
        <v>664242</v>
      </c>
      <c r="O19" s="2"/>
      <c r="P19" s="111" t="s">
        <v>133</v>
      </c>
      <c r="Q19" s="123"/>
      <c r="R19" s="123"/>
      <c r="S19" s="168">
        <v>533392350</v>
      </c>
      <c r="T19" s="168">
        <v>618911535</v>
      </c>
      <c r="U19" s="110"/>
      <c r="V19" s="2"/>
      <c r="W19" s="2"/>
      <c r="X19" s="2"/>
      <c r="Y19" s="2"/>
      <c r="Z19" s="2"/>
    </row>
    <row r="20" spans="1:26" ht="15" customHeight="1" x14ac:dyDescent="0.2">
      <c r="A20" s="24"/>
      <c r="B20" s="111" t="s">
        <v>134</v>
      </c>
      <c r="C20" s="111"/>
      <c r="D20" s="190">
        <v>0</v>
      </c>
      <c r="E20" s="191">
        <v>27766</v>
      </c>
      <c r="F20" s="2"/>
      <c r="G20" s="111" t="s">
        <v>135</v>
      </c>
      <c r="H20" s="111"/>
      <c r="I20" s="183">
        <v>0</v>
      </c>
      <c r="J20" s="183">
        <v>0</v>
      </c>
      <c r="K20" s="183">
        <v>0</v>
      </c>
      <c r="L20" s="184">
        <v>0</v>
      </c>
      <c r="M20" s="185">
        <v>0</v>
      </c>
      <c r="N20" s="186">
        <f>K20+M20-L20</f>
        <v>0</v>
      </c>
      <c r="O20" s="2"/>
      <c r="P20" s="111" t="s">
        <v>136</v>
      </c>
      <c r="Q20" s="176"/>
      <c r="R20" s="176"/>
      <c r="S20" s="168">
        <v>23862407</v>
      </c>
      <c r="T20" s="168">
        <v>26877242</v>
      </c>
      <c r="U20" s="110"/>
      <c r="V20" s="2"/>
      <c r="W20" s="2"/>
      <c r="X20" s="2"/>
      <c r="Y20" s="2"/>
      <c r="Z20" s="2"/>
    </row>
    <row r="21" spans="1:26" ht="15" customHeight="1" x14ac:dyDescent="0.2">
      <c r="A21" s="24"/>
      <c r="B21" s="111" t="s">
        <v>137</v>
      </c>
      <c r="C21" s="111"/>
      <c r="D21" s="111"/>
      <c r="E21" s="191">
        <v>700</v>
      </c>
      <c r="F21" s="2"/>
      <c r="G21" s="122" t="s">
        <v>138</v>
      </c>
      <c r="H21" s="111"/>
      <c r="I21" s="188">
        <f t="shared" ref="I21:N21" si="3">I17-SUM(I18:I20)</f>
        <v>21924870</v>
      </c>
      <c r="J21" s="188">
        <f t="shared" si="3"/>
        <v>25605222</v>
      </c>
      <c r="K21" s="188">
        <f t="shared" si="3"/>
        <v>29710855</v>
      </c>
      <c r="L21" s="193">
        <f t="shared" si="3"/>
        <v>0</v>
      </c>
      <c r="M21" s="194">
        <f t="shared" si="3"/>
        <v>0</v>
      </c>
      <c r="N21" s="188">
        <f t="shared" si="3"/>
        <v>29710855</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0.17521392579648493</v>
      </c>
      <c r="J22" s="189">
        <f t="shared" si="4"/>
        <v>0.18273697116145132</v>
      </c>
      <c r="K22" s="189">
        <f t="shared" si="4"/>
        <v>0.17813385219730862</v>
      </c>
      <c r="L22" s="195" t="str">
        <f t="shared" si="4"/>
        <v>NA</v>
      </c>
      <c r="M22" s="196" t="str">
        <f t="shared" si="4"/>
        <v>NA</v>
      </c>
      <c r="N22" s="189">
        <f t="shared" si="4"/>
        <v>0.17813385219730862</v>
      </c>
      <c r="O22" s="2"/>
      <c r="P22" s="124" t="s">
        <v>141</v>
      </c>
      <c r="Q22" s="123"/>
      <c r="R22" s="123"/>
      <c r="S22" s="171">
        <f>SUM(S19:S21)</f>
        <v>557254757</v>
      </c>
      <c r="T22" s="171">
        <f>SUM(T19:T21)</f>
        <v>645788777</v>
      </c>
      <c r="U22" s="110"/>
      <c r="V22" s="2"/>
      <c r="W22" s="2"/>
      <c r="X22" s="2"/>
      <c r="Y22" s="2"/>
      <c r="Z22" s="2"/>
    </row>
    <row r="23" spans="1:26" ht="15" customHeight="1" x14ac:dyDescent="0.2">
      <c r="A23" s="24"/>
      <c r="B23" s="111" t="s">
        <v>142</v>
      </c>
      <c r="C23" s="111"/>
      <c r="D23" s="111"/>
      <c r="E23" s="197">
        <f>+T40</f>
        <v>7086.2404139999999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219319140.81329998</v>
      </c>
      <c r="F24" s="2"/>
      <c r="G24" s="111" t="s">
        <v>144</v>
      </c>
      <c r="H24" s="111"/>
      <c r="I24" s="168">
        <v>7086.2404139999999</v>
      </c>
      <c r="J24" s="168">
        <v>7086.2404139999999</v>
      </c>
      <c r="K24" s="168">
        <v>7086.2404139999999</v>
      </c>
      <c r="L24" s="172">
        <v>0</v>
      </c>
      <c r="M24" s="173">
        <v>0</v>
      </c>
      <c r="N24" s="181">
        <f>+IF(ISERROR(K24+M24-L24),"NA",K24+M24-L24)</f>
        <v>7086.2404139999999</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3094.005949428969</v>
      </c>
      <c r="J25" s="199">
        <f>+IF(ISERROR(J21/J24),"NA",J21/J24)</f>
        <v>3613.3719016098853</v>
      </c>
      <c r="K25" s="199">
        <f>+IF(ISERROR(K21/K24),"NA",K21/K24)</f>
        <v>4192.7528935232649</v>
      </c>
      <c r="L25" s="200" t="str">
        <f>+IF(ISERROR(L21/L24),"NA",L21/L24)</f>
        <v>NA</v>
      </c>
      <c r="M25" s="201" t="str">
        <f>+IF(ISERROR(M21/M24),"NA",M21/M24)</f>
        <v>NA</v>
      </c>
      <c r="N25" s="199" t="str">
        <f>+IF(ISERROR(K25+M25-L25),"NA",K25+M25-L25)</f>
        <v>NA</v>
      </c>
      <c r="O25" s="2"/>
      <c r="P25" s="133" t="s">
        <v>147</v>
      </c>
      <c r="Q25" s="134"/>
      <c r="R25" s="134"/>
      <c r="S25" s="168">
        <v>273604171</v>
      </c>
      <c r="T25" s="168">
        <v>367053918</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830858928</v>
      </c>
      <c r="T26" s="171">
        <f>T22+SUM(T24:T25)</f>
        <v>1012842695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664242</v>
      </c>
      <c r="F28" s="2"/>
      <c r="G28" s="265" t="s">
        <v>152</v>
      </c>
      <c r="H28" s="263"/>
      <c r="I28" s="263"/>
      <c r="J28" s="263"/>
      <c r="K28" s="263"/>
      <c r="L28" s="263"/>
      <c r="M28" s="263"/>
      <c r="N28" s="263"/>
      <c r="O28" s="2"/>
      <c r="P28" s="111" t="s">
        <v>132</v>
      </c>
      <c r="Q28" s="136"/>
      <c r="R28" s="136"/>
      <c r="S28" s="168">
        <v>237176</v>
      </c>
      <c r="T28" s="168">
        <v>664242</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40061092</v>
      </c>
      <c r="J29" s="204">
        <f t="shared" si="5"/>
        <v>46990397</v>
      </c>
      <c r="K29" s="204">
        <f t="shared" si="5"/>
        <v>53391125</v>
      </c>
      <c r="L29" s="205">
        <f t="shared" si="5"/>
        <v>0</v>
      </c>
      <c r="M29" s="206">
        <f t="shared" si="5"/>
        <v>0</v>
      </c>
      <c r="N29" s="204">
        <f t="shared" si="5"/>
        <v>53391125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219983382.81329998</v>
      </c>
      <c r="F30" s="207"/>
      <c r="G30" s="111" t="s">
        <v>157</v>
      </c>
      <c r="H30" s="111"/>
      <c r="I30" s="209">
        <v>0</v>
      </c>
      <c r="J30" s="209">
        <v>0</v>
      </c>
      <c r="K30" s="209">
        <v>0</v>
      </c>
      <c r="L30" s="172">
        <v>0</v>
      </c>
      <c r="M30" s="173">
        <v>0</v>
      </c>
      <c r="N30" s="174">
        <f>K30+M30-L30</f>
        <v>0</v>
      </c>
      <c r="O30" s="2"/>
      <c r="P30" s="133" t="s">
        <v>158</v>
      </c>
      <c r="Q30" s="210"/>
      <c r="R30" s="210"/>
      <c r="S30" s="168">
        <v>147939621</v>
      </c>
      <c r="T30" s="168">
        <v>179501442</v>
      </c>
      <c r="U30" s="2"/>
      <c r="V30" s="2"/>
      <c r="W30" s="2"/>
      <c r="X30" s="2"/>
      <c r="Y30" s="2"/>
      <c r="Z30" s="2"/>
    </row>
    <row r="31" spans="1:26" ht="15" customHeight="1" x14ac:dyDescent="0.2">
      <c r="A31" s="24"/>
      <c r="B31" s="2"/>
      <c r="C31" s="2"/>
      <c r="D31" s="2"/>
      <c r="E31" s="2"/>
      <c r="F31" s="207"/>
      <c r="G31" s="122" t="s">
        <v>159</v>
      </c>
      <c r="H31" s="111"/>
      <c r="I31" s="171">
        <f t="shared" ref="I31:N31" si="6">SUM(I29:I30)</f>
        <v>40061092</v>
      </c>
      <c r="J31" s="171">
        <f t="shared" si="6"/>
        <v>46990397</v>
      </c>
      <c r="K31" s="171">
        <f t="shared" si="6"/>
        <v>53391125</v>
      </c>
      <c r="L31" s="177">
        <f t="shared" si="6"/>
        <v>0</v>
      </c>
      <c r="M31" s="178">
        <f t="shared" si="6"/>
        <v>0</v>
      </c>
      <c r="N31" s="171">
        <f t="shared" si="6"/>
        <v>53391125</v>
      </c>
      <c r="O31" s="2"/>
      <c r="P31" s="124" t="s">
        <v>160</v>
      </c>
      <c r="Q31" s="210"/>
      <c r="R31" s="210"/>
      <c r="S31" s="188">
        <f>S26+SUM(S28:S30)</f>
        <v>979035725</v>
      </c>
      <c r="T31" s="188">
        <f>T26+SUM(T28:T30)</f>
        <v>1193008379</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-57975099</v>
      </c>
      <c r="T32" s="211">
        <f>T17-T31</f>
        <v>-87187835</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26809296</v>
      </c>
      <c r="J34" s="204">
        <f t="shared" si="8"/>
        <v>31620662</v>
      </c>
      <c r="K34" s="204">
        <f t="shared" si="8"/>
        <v>36958691</v>
      </c>
      <c r="L34" s="213">
        <f t="shared" si="8"/>
        <v>0</v>
      </c>
      <c r="M34" s="214">
        <f t="shared" si="8"/>
        <v>0</v>
      </c>
      <c r="N34" s="204">
        <f t="shared" si="8"/>
        <v>36958691</v>
      </c>
      <c r="O34" s="2"/>
      <c r="P34" s="265" t="s">
        <v>167</v>
      </c>
      <c r="Q34" s="263"/>
      <c r="R34" s="263"/>
      <c r="S34" s="263"/>
      <c r="T34" s="263"/>
      <c r="U34" s="110"/>
      <c r="V34" s="2"/>
      <c r="W34" s="2"/>
      <c r="X34" s="2"/>
      <c r="Y34" s="2"/>
      <c r="Z34" s="2"/>
    </row>
    <row r="35" spans="1:26" ht="12.75" customHeight="1" x14ac:dyDescent="0.2">
      <c r="A35" s="24"/>
      <c r="B35" s="111" t="s">
        <v>168</v>
      </c>
      <c r="C35" s="215">
        <f>IF(ISERROR(E30/N10),"NA",E30/N10)</f>
        <v>4.1202237790138341</v>
      </c>
      <c r="D35" s="215">
        <f>IF(ISERROR($E$30/D36),"NA",$E$30/D36)</f>
        <v>3.6787712312623513</v>
      </c>
      <c r="E35" s="215">
        <f>IF(ISERROR($E$30/E36),"NA",$E$30/E36)</f>
        <v>3.3492090597799993</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7086.2404139999999</v>
      </c>
      <c r="U35" s="110"/>
      <c r="V35" s="2"/>
      <c r="W35" s="2"/>
      <c r="X35" s="2"/>
      <c r="Y35" s="2"/>
      <c r="Z35" s="2"/>
    </row>
    <row r="36" spans="1:26" ht="15" customHeight="1" x14ac:dyDescent="0.2">
      <c r="A36" s="24"/>
      <c r="B36" s="111" t="s">
        <v>170</v>
      </c>
      <c r="C36" s="204">
        <f>N10</f>
        <v>53391125</v>
      </c>
      <c r="D36" s="166">
        <v>59798060.000000007</v>
      </c>
      <c r="E36" s="166">
        <v>65682189.10400001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5.9521421582084706</v>
      </c>
      <c r="D37" s="215">
        <f>IF(ISERROR($E$30/D38),"NA",$E$30/D38)</f>
        <v>5.3144126412575625</v>
      </c>
      <c r="E37" s="215">
        <f>IF(ISERROR($E$30/E38),"NA",$E$30/E38)</f>
        <v>4.838321778275275</v>
      </c>
      <c r="F37" s="2"/>
      <c r="G37" s="122" t="s">
        <v>174</v>
      </c>
      <c r="H37" s="111"/>
      <c r="I37" s="171">
        <f t="shared" ref="I37:N37" si="10">SUM(I34:I36)</f>
        <v>26809296</v>
      </c>
      <c r="J37" s="171">
        <f t="shared" si="10"/>
        <v>31620662</v>
      </c>
      <c r="K37" s="171">
        <f t="shared" si="10"/>
        <v>36958691</v>
      </c>
      <c r="L37" s="177">
        <f t="shared" si="10"/>
        <v>0</v>
      </c>
      <c r="M37" s="178">
        <f t="shared" si="10"/>
        <v>0</v>
      </c>
      <c r="N37" s="171">
        <f t="shared" si="10"/>
        <v>36958691</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36958691</v>
      </c>
      <c r="D38" s="166">
        <v>41393733.920000002</v>
      </c>
      <c r="E38" s="166">
        <v>45466877.337728009</v>
      </c>
      <c r="F38" s="2"/>
      <c r="G38" s="128" t="s">
        <v>162</v>
      </c>
      <c r="H38" s="128"/>
      <c r="I38" s="189">
        <f t="shared" ref="I38:N38" si="11">IF(ISERROR(I37/I10),"NA",I37/I10)</f>
        <v>0.66921031508576956</v>
      </c>
      <c r="J38" s="189">
        <f t="shared" si="11"/>
        <v>0.67291753249073427</v>
      </c>
      <c r="K38" s="189">
        <f t="shared" si="11"/>
        <v>0.69222536517070954</v>
      </c>
      <c r="L38" s="195" t="str">
        <f t="shared" si="11"/>
        <v>NA</v>
      </c>
      <c r="M38" s="196" t="str">
        <f t="shared" si="11"/>
        <v>NA</v>
      </c>
      <c r="N38" s="189">
        <f t="shared" si="11"/>
        <v>0.69222536517070954</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5.9521421582084706</v>
      </c>
      <c r="D39" s="215">
        <f>IF(ISERROR($E$30/D40),"NA",$E$30/D40)</f>
        <v>5.3144126412575625</v>
      </c>
      <c r="E39" s="215">
        <f>IF(ISERROR($E$30/E40),"NA",$E$30/E40)</f>
        <v>4.838321778275275</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36958691</v>
      </c>
      <c r="D40" s="166">
        <v>41393733.920000002</v>
      </c>
      <c r="E40" s="166">
        <v>45466877.337728009</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7086.2404139999999</v>
      </c>
      <c r="U40" s="110"/>
      <c r="V40" s="2"/>
      <c r="W40" s="2"/>
      <c r="X40" s="2"/>
      <c r="Y40" s="2"/>
      <c r="Z40" s="2"/>
    </row>
    <row r="41" spans="1:26" ht="12.75" customHeight="1" x14ac:dyDescent="0.2">
      <c r="A41" s="24"/>
      <c r="B41" s="111" t="s">
        <v>181</v>
      </c>
      <c r="C41" s="215">
        <f>IF(ISERROR($E$17/N52),"NA",E17/N52)</f>
        <v>7.3817849002763474</v>
      </c>
      <c r="D41" s="215">
        <f>IF(ISERROR($E$17/D42),"NA",$E$17/D42)</f>
        <v>7.7362621980483128</v>
      </c>
      <c r="E41" s="215">
        <f>IF(ISERROR($E$17/E42),"NA",$E$17/E42)</f>
        <v>7.0432103041226428</v>
      </c>
      <c r="F41" s="2"/>
      <c r="G41" s="122" t="s">
        <v>182</v>
      </c>
      <c r="H41" s="111"/>
      <c r="I41" s="171">
        <f t="shared" ref="I41:N41" si="13">I40+I37</f>
        <v>26809296</v>
      </c>
      <c r="J41" s="171">
        <f t="shared" si="13"/>
        <v>31620662</v>
      </c>
      <c r="K41" s="171">
        <f t="shared" si="13"/>
        <v>36958691</v>
      </c>
      <c r="L41" s="177">
        <f t="shared" si="13"/>
        <v>0</v>
      </c>
      <c r="M41" s="178">
        <f t="shared" si="13"/>
        <v>0</v>
      </c>
      <c r="N41" s="171">
        <f t="shared" si="13"/>
        <v>36958691</v>
      </c>
      <c r="O41" s="2"/>
      <c r="P41" s="111"/>
      <c r="Q41" s="111"/>
      <c r="R41" s="111"/>
      <c r="S41" s="111"/>
      <c r="T41" s="111"/>
      <c r="U41" s="110"/>
      <c r="V41" s="2"/>
      <c r="W41" s="2"/>
      <c r="X41" s="2"/>
      <c r="Y41" s="2"/>
      <c r="Z41" s="2"/>
    </row>
    <row r="42" spans="1:26" ht="15" customHeight="1" x14ac:dyDescent="0.2">
      <c r="A42" s="24"/>
      <c r="B42" s="111" t="s">
        <v>170</v>
      </c>
      <c r="C42" s="199">
        <f>N52</f>
        <v>4192.7528935232649</v>
      </c>
      <c r="D42" s="187">
        <v>4000.64</v>
      </c>
      <c r="E42" s="187">
        <v>4394.3029760000009</v>
      </c>
      <c r="F42" s="2"/>
      <c r="G42" s="128" t="s">
        <v>162</v>
      </c>
      <c r="H42" s="128"/>
      <c r="I42" s="189">
        <f t="shared" ref="I42:N42" si="14">IF(ISERROR(I41/I10),"NA",I41/I10)</f>
        <v>0.66921031508576956</v>
      </c>
      <c r="J42" s="189">
        <f t="shared" si="14"/>
        <v>0.67291753249073427</v>
      </c>
      <c r="K42" s="189">
        <f t="shared" si="14"/>
        <v>0.69222536517070954</v>
      </c>
      <c r="L42" s="195" t="str">
        <f t="shared" si="14"/>
        <v>NA</v>
      </c>
      <c r="M42" s="196" t="str">
        <f t="shared" si="14"/>
        <v>NA</v>
      </c>
      <c r="N42" s="189">
        <f t="shared" si="14"/>
        <v>0.69222536517070954</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21924870</v>
      </c>
      <c r="J44" s="204">
        <f t="shared" si="15"/>
        <v>25605222</v>
      </c>
      <c r="K44" s="204">
        <f t="shared" si="15"/>
        <v>29710855</v>
      </c>
      <c r="L44" s="213">
        <f t="shared" si="15"/>
        <v>0</v>
      </c>
      <c r="M44" s="214">
        <f t="shared" si="15"/>
        <v>0</v>
      </c>
      <c r="N44" s="204">
        <f t="shared" si="15"/>
        <v>29710855</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0.22574255447002381</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0.18147299381324083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2.9316819791660505E-2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9.0468497576736667E-2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21924870</v>
      </c>
      <c r="J49" s="188">
        <f t="shared" si="19"/>
        <v>25605222</v>
      </c>
      <c r="K49" s="188">
        <f t="shared" si="19"/>
        <v>29710855</v>
      </c>
      <c r="L49" s="193">
        <f t="shared" si="19"/>
        <v>0</v>
      </c>
      <c r="M49" s="194">
        <f t="shared" si="19"/>
        <v>0</v>
      </c>
      <c r="N49" s="188">
        <f t="shared" si="19"/>
        <v>29710855</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0.54728588027505587</v>
      </c>
      <c r="J50" s="189">
        <f t="shared" si="20"/>
        <v>0.54490329162360551</v>
      </c>
      <c r="K50" s="189">
        <f t="shared" si="20"/>
        <v>0.55647553783517389</v>
      </c>
      <c r="L50" s="195" t="str">
        <f t="shared" si="20"/>
        <v>NA</v>
      </c>
      <c r="M50" s="196" t="str">
        <f t="shared" si="20"/>
        <v>NA</v>
      </c>
      <c r="N50" s="189">
        <f t="shared" si="20"/>
        <v>0.55647553783517389</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3094.005949428969</v>
      </c>
      <c r="J52" s="199">
        <f t="shared" si="21"/>
        <v>3613.3719016098853</v>
      </c>
      <c r="K52" s="199">
        <f t="shared" si="21"/>
        <v>4192.7528935232649</v>
      </c>
      <c r="L52" s="200">
        <f t="shared" si="21"/>
        <v>0</v>
      </c>
      <c r="M52" s="201">
        <f t="shared" si="21"/>
        <v>0</v>
      </c>
      <c r="N52" s="199">
        <f t="shared" si="21"/>
        <v>4192.7528935232649</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1232358</v>
      </c>
      <c r="J58" s="168">
        <v>1618886</v>
      </c>
      <c r="K58" s="168">
        <v>657030</v>
      </c>
      <c r="L58" s="172">
        <v>0</v>
      </c>
      <c r="M58" s="173">
        <v>0</v>
      </c>
      <c r="N58" s="181">
        <f>K58+M58-L58</f>
        <v>657030</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3.076196724742301E-2</v>
      </c>
      <c r="J59" s="241">
        <f t="shared" si="23"/>
        <v>3.4451422063959153E-2</v>
      </c>
      <c r="K59" s="241">
        <f t="shared" si="23"/>
        <v>1.2305977819347317E-2</v>
      </c>
      <c r="L59" s="244" t="str">
        <f t="shared" si="23"/>
        <v>NA</v>
      </c>
      <c r="M59" s="245" t="str">
        <f t="shared" si="23"/>
        <v>NA</v>
      </c>
      <c r="N59" s="241">
        <f t="shared" si="23"/>
        <v>1.2305977819347317E-2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0.13621353316082851</v>
      </c>
      <c r="D61" s="189">
        <f>IF(ISERROR(K41/J41-1),0,K41/J41-1)</f>
        <v>0.16881458712028241</v>
      </c>
      <c r="E61" s="189">
        <f>IF(ISERROR(K52/J52-1),0,K52/J52-1)</f>
        <v>0.16034358147724692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0.15444472677798649</v>
      </c>
      <c r="D62" s="189">
        <f>IF(ISERROR((K41/I41)^(1/2)-1),0,(K41/I41)^(1/2)-1)</f>
        <v>0.17412838017576537</v>
      </c>
      <c r="E62" s="189">
        <f>IF(ISERROR((K52/I52)^(1/2)-1),0,(K52/I52)^(1/2)-1)</f>
        <v>0.16409670895964767</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0.12000000000000011</v>
      </c>
      <c r="D64" s="189">
        <f>IF(ISERROR(D38/K41-1),0,D38/K41-1)</f>
        <v>0.12000000000000011</v>
      </c>
      <c r="E64" s="189">
        <f>IF(ISERROR(D42/K52-1),0,D42/K52-1)</f>
        <v>-4.5820227998657037E-2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0.10914742031886826</v>
      </c>
      <c r="D65" s="189">
        <f>IF(ISERROR((E38/K41)^(1/2)-1),0,(E38/K41)^(1/2)-1)</f>
        <v>0.10914742031886826</v>
      </c>
      <c r="E65" s="189">
        <f>IF(ISERROR((E42/K52)^(1/2)-1),0,(E42/K52)^(1/2)-1)</f>
        <v>2.3753418341680321E-2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9.8399999999999987E-2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Á Châu (HOSE:ACB)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573946692</v>
      </c>
      <c r="T9" s="168">
        <v>679152623</v>
      </c>
      <c r="U9" s="110"/>
      <c r="V9" s="2"/>
      <c r="W9" s="2"/>
      <c r="X9" s="2"/>
      <c r="Y9" s="2"/>
      <c r="Z9" s="2"/>
    </row>
    <row r="10" spans="1:26" ht="15" customHeight="1" x14ac:dyDescent="0.2">
      <c r="A10" s="24"/>
      <c r="B10" s="111" t="s">
        <v>107</v>
      </c>
      <c r="C10" s="111"/>
      <c r="D10" s="121"/>
      <c r="E10" s="150">
        <v>46022</v>
      </c>
      <c r="F10" s="2"/>
      <c r="G10" s="122" t="s">
        <v>23</v>
      </c>
      <c r="H10" s="122"/>
      <c r="I10" s="166">
        <v>32746516</v>
      </c>
      <c r="J10" s="166">
        <v>33514759</v>
      </c>
      <c r="K10" s="166">
        <v>33797883</v>
      </c>
      <c r="L10" s="169">
        <v>0</v>
      </c>
      <c r="M10" s="170">
        <v>0</v>
      </c>
      <c r="N10" s="171">
        <f>K10+M10-L10</f>
        <v>33797883</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121090243</v>
      </c>
      <c r="T11" s="168">
        <v>144164116</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32746516</v>
      </c>
      <c r="J12" s="171">
        <f t="shared" si="0"/>
        <v>33514759</v>
      </c>
      <c r="K12" s="171">
        <f t="shared" si="0"/>
        <v>33797883</v>
      </c>
      <c r="L12" s="177">
        <f t="shared" si="0"/>
        <v>0</v>
      </c>
      <c r="M12" s="178">
        <f t="shared" si="0"/>
        <v>0</v>
      </c>
      <c r="N12" s="171">
        <f t="shared" si="0"/>
        <v>33797883</v>
      </c>
      <c r="O12" s="2"/>
      <c r="P12" s="124" t="s">
        <v>115</v>
      </c>
      <c r="Q12" s="120"/>
      <c r="R12" s="120"/>
      <c r="S12" s="171">
        <f>SUM(S8:S11)</f>
        <v>695036935</v>
      </c>
      <c r="T12" s="171">
        <f>SUM(T8:T11)</f>
        <v>823316739</v>
      </c>
      <c r="U12" s="110"/>
      <c r="V12" s="2"/>
      <c r="W12" s="2"/>
      <c r="X12" s="2"/>
      <c r="Y12" s="2"/>
      <c r="Z12" s="2"/>
    </row>
    <row r="13" spans="1:26" ht="12.75" customHeight="1" x14ac:dyDescent="0.2">
      <c r="A13" s="24"/>
      <c r="B13" s="111" t="s">
        <v>116</v>
      </c>
      <c r="C13" s="111"/>
      <c r="D13" s="179"/>
      <c r="E13" s="180">
        <v>1</v>
      </c>
      <c r="F13" s="2"/>
      <c r="G13" s="111" t="s">
        <v>117</v>
      </c>
      <c r="H13" s="125"/>
      <c r="I13" s="168">
        <v>-10874286</v>
      </c>
      <c r="J13" s="168">
        <v>-10902603</v>
      </c>
      <c r="K13" s="168">
        <v>-10924359</v>
      </c>
      <c r="L13" s="172">
        <v>0</v>
      </c>
      <c r="M13" s="173">
        <v>0</v>
      </c>
      <c r="N13" s="181">
        <f>K13+M13-L13</f>
        <v>-10924359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21748572</v>
      </c>
      <c r="J14" s="183">
        <v>21805206</v>
      </c>
      <c r="K14" s="183">
        <v>21848718</v>
      </c>
      <c r="L14" s="184">
        <v>0</v>
      </c>
      <c r="M14" s="185">
        <v>0</v>
      </c>
      <c r="N14" s="186">
        <f>K14+M14-L14</f>
        <v>21848718</v>
      </c>
      <c r="O14" s="2"/>
      <c r="P14" s="111" t="s">
        <v>120</v>
      </c>
      <c r="Q14" s="123"/>
      <c r="R14" s="123"/>
      <c r="S14" s="168">
        <v>5412370</v>
      </c>
      <c r="T14" s="168">
        <v>5438550</v>
      </c>
      <c r="U14" s="110"/>
      <c r="V14" s="2"/>
      <c r="W14" s="2"/>
      <c r="X14" s="2"/>
      <c r="Y14" s="2"/>
      <c r="Z14" s="2"/>
    </row>
    <row r="15" spans="1:26" ht="12.75" customHeight="1" x14ac:dyDescent="0.2">
      <c r="A15" s="24"/>
      <c r="B15" s="2"/>
      <c r="C15" s="2"/>
      <c r="D15" s="2"/>
      <c r="E15" s="2"/>
      <c r="F15" s="2"/>
      <c r="G15" s="122" t="s">
        <v>121</v>
      </c>
      <c r="H15" s="125"/>
      <c r="I15" s="171">
        <f t="shared" ref="I15:N15" si="1">I12-SUM(I13:I14)</f>
        <v>21872230</v>
      </c>
      <c r="J15" s="171">
        <f t="shared" si="1"/>
        <v>22612156</v>
      </c>
      <c r="K15" s="171">
        <f t="shared" si="1"/>
        <v>22873524</v>
      </c>
      <c r="L15" s="177">
        <f t="shared" si="1"/>
        <v>0</v>
      </c>
      <c r="M15" s="178">
        <f t="shared" si="1"/>
        <v>0</v>
      </c>
      <c r="N15" s="171">
        <f t="shared" si="1"/>
        <v>22873524</v>
      </c>
      <c r="O15" s="2"/>
      <c r="P15" s="111" t="s">
        <v>122</v>
      </c>
      <c r="Q15" s="120"/>
      <c r="R15" s="120"/>
      <c r="S15" s="168">
        <v>2190172</v>
      </c>
      <c r="T15" s="168">
        <v>2238063</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130450024</v>
      </c>
      <c r="T16" s="168">
        <v>169657269</v>
      </c>
      <c r="U16" s="110"/>
      <c r="V16" s="2"/>
      <c r="W16" s="2"/>
      <c r="X16" s="2"/>
      <c r="Y16" s="2"/>
      <c r="Z16" s="2"/>
    </row>
    <row r="17" spans="1:26" ht="15" customHeight="1" x14ac:dyDescent="0.2">
      <c r="A17" s="24"/>
      <c r="B17" s="111" t="s">
        <v>126</v>
      </c>
      <c r="C17" s="111"/>
      <c r="D17" s="126">
        <v>0</v>
      </c>
      <c r="E17" s="187">
        <v>26500</v>
      </c>
      <c r="F17" s="2"/>
      <c r="G17" s="122" t="s">
        <v>127</v>
      </c>
      <c r="H17" s="111"/>
      <c r="I17" s="171">
        <f t="shared" ref="I17:N17" si="2">I15-SUM(I16)</f>
        <v>21872230</v>
      </c>
      <c r="J17" s="171">
        <f t="shared" si="2"/>
        <v>22612156</v>
      </c>
      <c r="K17" s="171">
        <f t="shared" si="2"/>
        <v>22873524</v>
      </c>
      <c r="L17" s="177">
        <f t="shared" si="2"/>
        <v>0</v>
      </c>
      <c r="M17" s="178">
        <f t="shared" si="2"/>
        <v>0</v>
      </c>
      <c r="N17" s="171">
        <f t="shared" si="2"/>
        <v>22873524</v>
      </c>
      <c r="O17" s="2"/>
      <c r="P17" s="124" t="s">
        <v>128</v>
      </c>
      <c r="Q17" s="120"/>
      <c r="R17" s="120"/>
      <c r="S17" s="188">
        <f>SUM(S12:S16)</f>
        <v>833089501</v>
      </c>
      <c r="T17" s="188">
        <f>SUM(T12:T16)</f>
        <v>1000650621</v>
      </c>
      <c r="U17" s="110"/>
      <c r="V17" s="2"/>
      <c r="W17" s="2"/>
      <c r="X17" s="2"/>
      <c r="Y17" s="2"/>
      <c r="Z17" s="2"/>
    </row>
    <row r="18" spans="1:26" ht="12.75" customHeight="1" x14ac:dyDescent="0.2">
      <c r="A18" s="127"/>
      <c r="B18" s="128" t="s">
        <v>129</v>
      </c>
      <c r="C18" s="128"/>
      <c r="D18" s="129"/>
      <c r="E18" s="189">
        <f>+IF(ISERROR(E17/E19),"NA",E17/E19)</f>
        <v>0.89830508474576276</v>
      </c>
      <c r="F18" s="2"/>
      <c r="G18" s="111" t="s">
        <v>130</v>
      </c>
      <c r="H18" s="111"/>
      <c r="I18" s="168">
        <v>4023266</v>
      </c>
      <c r="J18" s="168">
        <v>4216103</v>
      </c>
      <c r="K18" s="168">
        <v>3914077</v>
      </c>
      <c r="L18" s="172">
        <v>0</v>
      </c>
      <c r="M18" s="173">
        <v>0</v>
      </c>
      <c r="N18" s="181">
        <f>K18+M18-L18</f>
        <v>3914077</v>
      </c>
      <c r="O18" s="2"/>
      <c r="P18" s="111"/>
      <c r="Q18" s="111"/>
      <c r="R18" s="111"/>
      <c r="S18" s="111"/>
      <c r="T18" s="111"/>
      <c r="U18" s="110"/>
      <c r="V18" s="2"/>
      <c r="W18" s="2"/>
      <c r="X18" s="2"/>
      <c r="Y18" s="2"/>
      <c r="Z18" s="2"/>
    </row>
    <row r="19" spans="1:26" ht="15" customHeight="1" x14ac:dyDescent="0.2">
      <c r="A19" s="24"/>
      <c r="B19" s="111" t="s">
        <v>131</v>
      </c>
      <c r="C19" s="111"/>
      <c r="D19" s="190">
        <v>0</v>
      </c>
      <c r="E19" s="191">
        <v>29500</v>
      </c>
      <c r="F19" s="2"/>
      <c r="G19" s="111" t="s">
        <v>132</v>
      </c>
      <c r="H19" s="111"/>
      <c r="I19" s="183">
        <v>0</v>
      </c>
      <c r="J19" s="183">
        <v>0</v>
      </c>
      <c r="K19" s="183">
        <v>0</v>
      </c>
      <c r="L19" s="184">
        <v>0</v>
      </c>
      <c r="M19" s="185">
        <v>0</v>
      </c>
      <c r="N19" s="192">
        <f>K19+M19-L19</f>
        <v>0</v>
      </c>
      <c r="O19" s="2"/>
      <c r="P19" s="111" t="s">
        <v>133</v>
      </c>
      <c r="Q19" s="123"/>
      <c r="R19" s="123"/>
      <c r="S19" s="168">
        <v>537304578</v>
      </c>
      <c r="T19" s="168">
        <v>585180175</v>
      </c>
      <c r="U19" s="110"/>
      <c r="V19" s="2"/>
      <c r="W19" s="2"/>
      <c r="X19" s="2"/>
      <c r="Y19" s="2"/>
      <c r="Z19" s="2"/>
    </row>
    <row r="20" spans="1:26" ht="15" customHeight="1" x14ac:dyDescent="0.2">
      <c r="A20" s="24"/>
      <c r="B20" s="111" t="s">
        <v>134</v>
      </c>
      <c r="C20" s="111"/>
      <c r="D20" s="190">
        <v>0</v>
      </c>
      <c r="E20" s="191">
        <v>20900</v>
      </c>
      <c r="F20" s="2"/>
      <c r="G20" s="111" t="s">
        <v>135</v>
      </c>
      <c r="H20" s="111"/>
      <c r="I20" s="183">
        <v>0</v>
      </c>
      <c r="J20" s="183">
        <v>0</v>
      </c>
      <c r="K20" s="183">
        <v>0</v>
      </c>
      <c r="L20" s="184">
        <v>0</v>
      </c>
      <c r="M20" s="185">
        <v>0</v>
      </c>
      <c r="N20" s="186">
        <f>K20+M20-L20</f>
        <v>0</v>
      </c>
      <c r="O20" s="2"/>
      <c r="P20" s="111" t="s">
        <v>136</v>
      </c>
      <c r="Q20" s="176"/>
      <c r="R20" s="176"/>
      <c r="S20" s="168">
        <v>22014472</v>
      </c>
      <c r="T20" s="168">
        <v>24861054</v>
      </c>
      <c r="U20" s="110"/>
      <c r="V20" s="2"/>
      <c r="W20" s="2"/>
      <c r="X20" s="2"/>
      <c r="Y20" s="2"/>
      <c r="Z20" s="2"/>
    </row>
    <row r="21" spans="1:26" ht="15" customHeight="1" x14ac:dyDescent="0.2">
      <c r="A21" s="24"/>
      <c r="B21" s="111" t="s">
        <v>137</v>
      </c>
      <c r="C21" s="111"/>
      <c r="D21" s="111"/>
      <c r="E21" s="191">
        <v>700</v>
      </c>
      <c r="F21" s="2"/>
      <c r="G21" s="122" t="s">
        <v>138</v>
      </c>
      <c r="H21" s="111"/>
      <c r="I21" s="188">
        <f t="shared" ref="I21:N21" si="3">I17-SUM(I18:I20)</f>
        <v>17848964</v>
      </c>
      <c r="J21" s="188">
        <f t="shared" si="3"/>
        <v>18396053</v>
      </c>
      <c r="K21" s="188">
        <f t="shared" si="3"/>
        <v>18959447</v>
      </c>
      <c r="L21" s="193">
        <f t="shared" si="3"/>
        <v>0</v>
      </c>
      <c r="M21" s="194">
        <f t="shared" si="3"/>
        <v>0</v>
      </c>
      <c r="N21" s="188">
        <f t="shared" si="3"/>
        <v>18959447</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0.18394402399755305</v>
      </c>
      <c r="J22" s="189">
        <f t="shared" si="4"/>
        <v>0.1864529415063296</v>
      </c>
      <c r="K22" s="189">
        <f t="shared" si="4"/>
        <v>0.17111823259065809</v>
      </c>
      <c r="L22" s="195" t="str">
        <f t="shared" si="4"/>
        <v>NA</v>
      </c>
      <c r="M22" s="196" t="str">
        <f t="shared" si="4"/>
        <v>NA</v>
      </c>
      <c r="N22" s="189">
        <f t="shared" si="4"/>
        <v>0.17111823259065809</v>
      </c>
      <c r="O22" s="2"/>
      <c r="P22" s="124" t="s">
        <v>141</v>
      </c>
      <c r="Q22" s="123"/>
      <c r="R22" s="123"/>
      <c r="S22" s="171">
        <f>SUM(S19:S21)</f>
        <v>559319050</v>
      </c>
      <c r="T22" s="171">
        <f>SUM(T19:T21)</f>
        <v>610041229</v>
      </c>
      <c r="U22" s="110"/>
      <c r="V22" s="2"/>
      <c r="W22" s="2"/>
      <c r="X22" s="2"/>
      <c r="Y22" s="2"/>
      <c r="Z22" s="2"/>
    </row>
    <row r="23" spans="1:26" ht="15" customHeight="1" x14ac:dyDescent="0.2">
      <c r="A23" s="24"/>
      <c r="B23" s="111" t="s">
        <v>142</v>
      </c>
      <c r="C23" s="111"/>
      <c r="D23" s="111"/>
      <c r="E23" s="197">
        <f>+T40</f>
        <v>5136.6565989999999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136121399.87349999</v>
      </c>
      <c r="F24" s="2"/>
      <c r="G24" s="111" t="s">
        <v>144</v>
      </c>
      <c r="H24" s="111"/>
      <c r="I24" s="168">
        <v>5136.6565989999999</v>
      </c>
      <c r="J24" s="168">
        <v>5136.6565989999999</v>
      </c>
      <c r="K24" s="168">
        <v>5136.6565989999999</v>
      </c>
      <c r="L24" s="172">
        <v>0</v>
      </c>
      <c r="M24" s="173">
        <v>0</v>
      </c>
      <c r="N24" s="181">
        <f>+IF(ISERROR(K24+M24-L24),"NA",K24+M24-L24)</f>
        <v>5136.6565989999999</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3474.8213465301187</v>
      </c>
      <c r="J25" s="199">
        <f>+IF(ISERROR(J21/J24),"NA",J21/J24)</f>
        <v>3581.328174357875</v>
      </c>
      <c r="K25" s="199">
        <f>+IF(ISERROR(K21/K24),"NA",K21/K24)</f>
        <v>3691.0092459151365</v>
      </c>
      <c r="L25" s="200" t="str">
        <f>+IF(ISERROR(L21/L24),"NA",L21/L24)</f>
        <v>NA</v>
      </c>
      <c r="M25" s="201" t="str">
        <f>+IF(ISERROR(M21/M24),"NA",M21/M24)</f>
        <v>NA</v>
      </c>
      <c r="N25" s="199" t="str">
        <f>+IF(ISERROR(K25+M25-L25),"NA",K25+M25-L25)</f>
        <v>NA</v>
      </c>
      <c r="O25" s="2"/>
      <c r="P25" s="133" t="s">
        <v>147</v>
      </c>
      <c r="Q25" s="134"/>
      <c r="R25" s="134"/>
      <c r="S25" s="168">
        <v>221224975</v>
      </c>
      <c r="T25" s="168">
        <v>321289179</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780544025</v>
      </c>
      <c r="T26" s="171">
        <f>T22+SUM(T24:T25)</f>
        <v>931330408</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0</v>
      </c>
      <c r="F28" s="2"/>
      <c r="G28" s="265" t="s">
        <v>152</v>
      </c>
      <c r="H28" s="263"/>
      <c r="I28" s="263"/>
      <c r="J28" s="263"/>
      <c r="K28" s="263"/>
      <c r="L28" s="263"/>
      <c r="M28" s="263"/>
      <c r="N28" s="263"/>
      <c r="O28" s="2"/>
      <c r="P28" s="111" t="s">
        <v>132</v>
      </c>
      <c r="Q28" s="136"/>
      <c r="R28" s="136"/>
      <c r="S28" s="168">
        <v>0</v>
      </c>
      <c r="T28" s="168">
        <v>0</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32746516</v>
      </c>
      <c r="J29" s="204">
        <f t="shared" si="5"/>
        <v>33514759</v>
      </c>
      <c r="K29" s="204">
        <f t="shared" si="5"/>
        <v>33797883</v>
      </c>
      <c r="L29" s="205">
        <f t="shared" si="5"/>
        <v>0</v>
      </c>
      <c r="M29" s="206">
        <f t="shared" si="5"/>
        <v>0</v>
      </c>
      <c r="N29" s="204">
        <f t="shared" si="5"/>
        <v>33797883</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136121399.87349999</v>
      </c>
      <c r="F30" s="207"/>
      <c r="G30" s="111" t="s">
        <v>157</v>
      </c>
      <c r="H30" s="111"/>
      <c r="I30" s="209">
        <v>0</v>
      </c>
      <c r="J30" s="209">
        <v>0</v>
      </c>
      <c r="K30" s="209">
        <v>0</v>
      </c>
      <c r="L30" s="172">
        <v>0</v>
      </c>
      <c r="M30" s="173">
        <v>0</v>
      </c>
      <c r="N30" s="174">
        <f>K30+M30-L30</f>
        <v>0</v>
      </c>
      <c r="O30" s="2"/>
      <c r="P30" s="133" t="s">
        <v>158</v>
      </c>
      <c r="Q30" s="210"/>
      <c r="R30" s="210"/>
      <c r="S30" s="168">
        <v>83461678</v>
      </c>
      <c r="T30" s="168">
        <v>94519719</v>
      </c>
      <c r="U30" s="2"/>
      <c r="V30" s="2"/>
      <c r="W30" s="2"/>
      <c r="X30" s="2"/>
      <c r="Y30" s="2"/>
      <c r="Z30" s="2"/>
    </row>
    <row r="31" spans="1:26" ht="15" customHeight="1" x14ac:dyDescent="0.2">
      <c r="A31" s="24"/>
      <c r="B31" s="2"/>
      <c r="C31" s="2"/>
      <c r="D31" s="2"/>
      <c r="E31" s="2"/>
      <c r="F31" s="207"/>
      <c r="G31" s="122" t="s">
        <v>159</v>
      </c>
      <c r="H31" s="111"/>
      <c r="I31" s="171">
        <f t="shared" ref="I31:N31" si="6">SUM(I29:I30)</f>
        <v>32746516</v>
      </c>
      <c r="J31" s="171">
        <f t="shared" si="6"/>
        <v>33514759</v>
      </c>
      <c r="K31" s="171">
        <f t="shared" si="6"/>
        <v>33797883</v>
      </c>
      <c r="L31" s="177">
        <f t="shared" si="6"/>
        <v>0</v>
      </c>
      <c r="M31" s="178">
        <f t="shared" si="6"/>
        <v>0</v>
      </c>
      <c r="N31" s="171">
        <f t="shared" si="6"/>
        <v>33797883</v>
      </c>
      <c r="O31" s="2"/>
      <c r="P31" s="124" t="s">
        <v>160</v>
      </c>
      <c r="Q31" s="210"/>
      <c r="R31" s="210"/>
      <c r="S31" s="188">
        <f>S26+SUM(S28:S30)</f>
        <v>864005703</v>
      </c>
      <c r="T31" s="188">
        <f>T26+SUM(T28:T30)</f>
        <v>1025850127</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-30916202</v>
      </c>
      <c r="T32" s="211">
        <f>T17-T31</f>
        <v>-25199506</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21872230</v>
      </c>
      <c r="J34" s="204">
        <f t="shared" si="8"/>
        <v>22612156</v>
      </c>
      <c r="K34" s="204">
        <f t="shared" si="8"/>
        <v>22873524</v>
      </c>
      <c r="L34" s="213">
        <f t="shared" si="8"/>
        <v>0</v>
      </c>
      <c r="M34" s="214">
        <f t="shared" si="8"/>
        <v>0</v>
      </c>
      <c r="N34" s="204">
        <f t="shared" si="8"/>
        <v>22873524</v>
      </c>
      <c r="O34" s="2"/>
      <c r="P34" s="265" t="s">
        <v>167</v>
      </c>
      <c r="Q34" s="263"/>
      <c r="R34" s="263"/>
      <c r="S34" s="263"/>
      <c r="T34" s="263"/>
      <c r="U34" s="110"/>
      <c r="V34" s="2"/>
      <c r="W34" s="2"/>
      <c r="X34" s="2"/>
      <c r="Y34" s="2"/>
      <c r="Z34" s="2"/>
    </row>
    <row r="35" spans="1:26" ht="12.75" customHeight="1" x14ac:dyDescent="0.2">
      <c r="A35" s="24"/>
      <c r="B35" s="111" t="s">
        <v>168</v>
      </c>
      <c r="C35" s="215">
        <f>IF(ISERROR(E30/N10),"NA",E30/N10)</f>
        <v>4.0275126070322216</v>
      </c>
      <c r="D35" s="215">
        <f>IF(ISERROR($E$30/D36),"NA",$E$30/D36)</f>
        <v>3.8913165285335487</v>
      </c>
      <c r="E35" s="215">
        <f>IF(ISERROR($E$30/E36),"NA",$E$30/E36)</f>
        <v>3.7827515587960998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5136.6565989999999</v>
      </c>
      <c r="U35" s="110"/>
      <c r="V35" s="2"/>
      <c r="W35" s="2"/>
      <c r="X35" s="2"/>
      <c r="Y35" s="2"/>
      <c r="Z35" s="2"/>
    </row>
    <row r="36" spans="1:26" ht="15" customHeight="1" x14ac:dyDescent="0.2">
      <c r="A36" s="24"/>
      <c r="B36" s="111" t="s">
        <v>170</v>
      </c>
      <c r="C36" s="204">
        <f>N10</f>
        <v>33797883</v>
      </c>
      <c r="D36" s="166">
        <v>34980808.904999986</v>
      </c>
      <c r="E36" s="166">
        <v>35984758.120573491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5.9510462783740712</v>
      </c>
      <c r="D37" s="215">
        <f>IF(ISERROR($E$30/D38),"NA",$E$30/D38)</f>
        <v>5.7498031675111827</v>
      </c>
      <c r="E37" s="215">
        <f>IF(ISERROR($E$30/E38),"NA",$E$30/E38)</f>
        <v>5.5893877393906699</v>
      </c>
      <c r="F37" s="2"/>
      <c r="G37" s="122" t="s">
        <v>174</v>
      </c>
      <c r="H37" s="111"/>
      <c r="I37" s="171">
        <f t="shared" ref="I37:N37" si="10">SUM(I34:I36)</f>
        <v>21872230</v>
      </c>
      <c r="J37" s="171">
        <f t="shared" si="10"/>
        <v>22612156</v>
      </c>
      <c r="K37" s="171">
        <f t="shared" si="10"/>
        <v>22873524</v>
      </c>
      <c r="L37" s="177">
        <f t="shared" si="10"/>
        <v>0</v>
      </c>
      <c r="M37" s="178">
        <f t="shared" si="10"/>
        <v>0</v>
      </c>
      <c r="N37" s="171">
        <f t="shared" si="10"/>
        <v>22873524</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22873524</v>
      </c>
      <c r="D38" s="166">
        <v>23674097.339999989</v>
      </c>
      <c r="E38" s="166">
        <v>24353543.933657989</v>
      </c>
      <c r="F38" s="2"/>
      <c r="G38" s="128" t="s">
        <v>162</v>
      </c>
      <c r="H38" s="128"/>
      <c r="I38" s="189">
        <f t="shared" ref="I38:N38" si="11">IF(ISERROR(I37/I10),"NA",I37/I10)</f>
        <v>0.66792540617145346</v>
      </c>
      <c r="J38" s="189">
        <f t="shared" si="11"/>
        <v>0.67469248398891968</v>
      </c>
      <c r="K38" s="189">
        <f t="shared" si="11"/>
        <v>0.67677386775970549</v>
      </c>
      <c r="L38" s="195" t="str">
        <f t="shared" si="11"/>
        <v>NA</v>
      </c>
      <c r="M38" s="196" t="str">
        <f t="shared" si="11"/>
        <v>NA</v>
      </c>
      <c r="N38" s="189">
        <f t="shared" si="11"/>
        <v>0.67677386775970549</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5.9510462783740712</v>
      </c>
      <c r="D39" s="215">
        <f>IF(ISERROR($E$30/D40),"NA",$E$30/D40)</f>
        <v>5.7498031675111827</v>
      </c>
      <c r="E39" s="215">
        <f>IF(ISERROR($E$30/E40),"NA",$E$30/E40)</f>
        <v>5.5893877393906699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22873524</v>
      </c>
      <c r="D40" s="166">
        <v>23674097.339999989</v>
      </c>
      <c r="E40" s="166">
        <v>24353543.933657989</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5136.6565989999999</v>
      </c>
      <c r="U40" s="110"/>
      <c r="V40" s="2"/>
      <c r="W40" s="2"/>
      <c r="X40" s="2"/>
      <c r="Y40" s="2"/>
      <c r="Z40" s="2"/>
    </row>
    <row r="41" spans="1:26" ht="12.75" customHeight="1" x14ac:dyDescent="0.2">
      <c r="A41" s="24"/>
      <c r="B41" s="111" t="s">
        <v>181</v>
      </c>
      <c r="C41" s="215">
        <f>IF(ISERROR($E$17/N52),"NA",E17/N52)</f>
        <v>7.1796081327424792</v>
      </c>
      <c r="D41" s="215">
        <f>IF(ISERROR($E$17/D42),"NA",$E$17/D42)</f>
        <v>8.472489984877404</v>
      </c>
      <c r="E41" s="215">
        <f>IF(ISERROR($E$17/E42),"NA",$E$17/E42)</f>
        <v>8.2361135266621996</v>
      </c>
      <c r="F41" s="2"/>
      <c r="G41" s="122" t="s">
        <v>182</v>
      </c>
      <c r="H41" s="111"/>
      <c r="I41" s="171">
        <f t="shared" ref="I41:N41" si="13">I40+I37</f>
        <v>21872230</v>
      </c>
      <c r="J41" s="171">
        <f t="shared" si="13"/>
        <v>22612156</v>
      </c>
      <c r="K41" s="171">
        <f t="shared" si="13"/>
        <v>22873524</v>
      </c>
      <c r="L41" s="177">
        <f t="shared" si="13"/>
        <v>0</v>
      </c>
      <c r="M41" s="178">
        <f t="shared" si="13"/>
        <v>0</v>
      </c>
      <c r="N41" s="171">
        <f t="shared" si="13"/>
        <v>22873524</v>
      </c>
      <c r="O41" s="2"/>
      <c r="P41" s="111"/>
      <c r="Q41" s="111"/>
      <c r="R41" s="111"/>
      <c r="S41" s="111"/>
      <c r="T41" s="111"/>
      <c r="U41" s="110"/>
      <c r="V41" s="2"/>
      <c r="W41" s="2"/>
      <c r="X41" s="2"/>
      <c r="Y41" s="2"/>
      <c r="Z41" s="2"/>
    </row>
    <row r="42" spans="1:26" ht="15" customHeight="1" x14ac:dyDescent="0.2">
      <c r="A42" s="24"/>
      <c r="B42" s="111" t="s">
        <v>170</v>
      </c>
      <c r="C42" s="199">
        <f>N52</f>
        <v>3691.0092459151365</v>
      </c>
      <c r="D42" s="187">
        <v>3127.77</v>
      </c>
      <c r="E42" s="187">
        <v>3217.5369989999999</v>
      </c>
      <c r="F42" s="2"/>
      <c r="G42" s="128" t="s">
        <v>162</v>
      </c>
      <c r="H42" s="128"/>
      <c r="I42" s="189">
        <f t="shared" ref="I42:N42" si="14">IF(ISERROR(I41/I10),"NA",I41/I10)</f>
        <v>0.66792540617145346</v>
      </c>
      <c r="J42" s="189">
        <f t="shared" si="14"/>
        <v>0.67469248398891968</v>
      </c>
      <c r="K42" s="189">
        <f t="shared" si="14"/>
        <v>0.67677386775970549</v>
      </c>
      <c r="L42" s="195" t="str">
        <f t="shared" si="14"/>
        <v>NA</v>
      </c>
      <c r="M42" s="196" t="str">
        <f t="shared" si="14"/>
        <v>NA</v>
      </c>
      <c r="N42" s="189">
        <f t="shared" si="14"/>
        <v>0.67677386775970549</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17848964</v>
      </c>
      <c r="J44" s="204">
        <f t="shared" si="15"/>
        <v>18396053</v>
      </c>
      <c r="K44" s="204">
        <f t="shared" si="15"/>
        <v>18959447</v>
      </c>
      <c r="L44" s="213">
        <f t="shared" si="15"/>
        <v>0</v>
      </c>
      <c r="M44" s="214">
        <f t="shared" si="15"/>
        <v>0</v>
      </c>
      <c r="N44" s="204">
        <f t="shared" si="15"/>
        <v>18959447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0.25703275045087998</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0.21304976047580973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2.0678444859810949E-2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0.10566037735849057</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17848964</v>
      </c>
      <c r="J49" s="188">
        <f t="shared" si="19"/>
        <v>18396053</v>
      </c>
      <c r="K49" s="188">
        <f t="shared" si="19"/>
        <v>18959447</v>
      </c>
      <c r="L49" s="193">
        <f t="shared" si="19"/>
        <v>0</v>
      </c>
      <c r="M49" s="194">
        <f t="shared" si="19"/>
        <v>0</v>
      </c>
      <c r="N49" s="188">
        <f t="shared" si="19"/>
        <v>18959447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0.54506451923007626</v>
      </c>
      <c r="J50" s="189">
        <f t="shared" si="20"/>
        <v>0.5488940857369734</v>
      </c>
      <c r="K50" s="189">
        <f t="shared" si="20"/>
        <v>0.56096551964512098</v>
      </c>
      <c r="L50" s="195" t="str">
        <f t="shared" si="20"/>
        <v>NA</v>
      </c>
      <c r="M50" s="196" t="str">
        <f t="shared" si="20"/>
        <v>NA</v>
      </c>
      <c r="N50" s="189">
        <f t="shared" si="20"/>
        <v>0.56096551964512098</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3474.8213465301187</v>
      </c>
      <c r="J52" s="199">
        <f t="shared" si="21"/>
        <v>3581.328174357875</v>
      </c>
      <c r="K52" s="199">
        <f t="shared" si="21"/>
        <v>3691.0092459151365</v>
      </c>
      <c r="L52" s="200">
        <f t="shared" si="21"/>
        <v>0</v>
      </c>
      <c r="M52" s="201">
        <f t="shared" si="21"/>
        <v>0</v>
      </c>
      <c r="N52" s="199">
        <f t="shared" si="21"/>
        <v>3691.0092459151365</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1276249</v>
      </c>
      <c r="J58" s="168">
        <v>919740</v>
      </c>
      <c r="K58" s="168">
        <v>701864</v>
      </c>
      <c r="L58" s="172">
        <v>0</v>
      </c>
      <c r="M58" s="173">
        <v>0</v>
      </c>
      <c r="N58" s="181">
        <f>K58+M58-L58</f>
        <v>701864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3.8973581189522571E-2</v>
      </c>
      <c r="J59" s="241">
        <f t="shared" si="23"/>
        <v>2.7442834961158454E-2</v>
      </c>
      <c r="K59" s="241">
        <f t="shared" si="23"/>
        <v>2.0766507772099218E-2</v>
      </c>
      <c r="L59" s="244" t="str">
        <f t="shared" si="23"/>
        <v>NA</v>
      </c>
      <c r="M59" s="245" t="str">
        <f t="shared" si="23"/>
        <v>NA</v>
      </c>
      <c r="N59" s="241">
        <f t="shared" si="23"/>
        <v>2.0766507772099218E-2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8.4477408893197659E-3</v>
      </c>
      <c r="D61" s="189">
        <f>IF(ISERROR(K41/J41-1),0,K41/J41-1)</f>
        <v>1.1558738582910788E-2</v>
      </c>
      <c r="E61" s="189">
        <f>IF(ISERROR(K52/J52-1),0,K52/J52-1)</f>
        <v>3.062580869928988E-2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1.5926288996600979E-2</v>
      </c>
      <c r="D62" s="189">
        <f>IF(ISERROR((K41/I41)^(1/2)-1),0,(K41/I41)^(1/2)-1)</f>
        <v>2.2633481243097719E-2</v>
      </c>
      <c r="E62" s="189">
        <f>IF(ISERROR((K52/I52)^(1/2)-1),0,(K52/I52)^(1/2)-1)</f>
        <v>3.0638415601936364E-2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3.4999999999999698E-2</v>
      </c>
      <c r="D64" s="189">
        <f>IF(ISERROR(D38/K41-1),0,D38/K41-1)</f>
        <v>3.4999999999999476E-2</v>
      </c>
      <c r="E64" s="189">
        <f>IF(ISERROR(D42/K52-1),0,D42/K52-1)</f>
        <v>-0.15259762530762477</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3.18451918771534E-2</v>
      </c>
      <c r="D65" s="189">
        <f>IF(ISERROR((E38/K41)^(1/2)-1),0,(E38/K41)^(1/2)-1)</f>
        <v>3.18451918771534E-2</v>
      </c>
      <c r="E65" s="189">
        <f>IF(ISERROR((E42/K52)^(1/2)-1),0,(E42/K52)^(1/2)-1)</f>
        <v>-6.6339021461190972E-2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2.87E-2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Ngoại thương Việt Nam (HOSE:VCB)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1418015724</v>
      </c>
      <c r="T9" s="168">
        <v>1648549996</v>
      </c>
      <c r="U9" s="110"/>
      <c r="V9" s="2"/>
      <c r="W9" s="2"/>
      <c r="X9" s="2"/>
      <c r="Y9" s="2"/>
      <c r="Z9" s="2"/>
    </row>
    <row r="10" spans="1:26" ht="15" customHeight="1" x14ac:dyDescent="0.2">
      <c r="A10" s="24"/>
      <c r="B10" s="111" t="s">
        <v>107</v>
      </c>
      <c r="C10" s="111"/>
      <c r="D10" s="121"/>
      <c r="E10" s="150">
        <v>46022</v>
      </c>
      <c r="F10" s="2"/>
      <c r="G10" s="122" t="s">
        <v>23</v>
      </c>
      <c r="H10" s="122"/>
      <c r="I10" s="166">
        <v>67723462</v>
      </c>
      <c r="J10" s="166">
        <v>68578496</v>
      </c>
      <c r="K10" s="166">
        <v>72454622</v>
      </c>
      <c r="L10" s="169">
        <v>0</v>
      </c>
      <c r="M10" s="170">
        <v>0</v>
      </c>
      <c r="N10" s="171">
        <f>K10+M10-L10</f>
        <v>72454622</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167383349</v>
      </c>
      <c r="T11" s="168">
        <v>162104164</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67723462</v>
      </c>
      <c r="J12" s="171">
        <f t="shared" si="0"/>
        <v>68578496</v>
      </c>
      <c r="K12" s="171">
        <f t="shared" si="0"/>
        <v>72454622</v>
      </c>
      <c r="L12" s="177">
        <f t="shared" si="0"/>
        <v>0</v>
      </c>
      <c r="M12" s="178">
        <f t="shared" si="0"/>
        <v>0</v>
      </c>
      <c r="N12" s="171">
        <f t="shared" si="0"/>
        <v>72454622</v>
      </c>
      <c r="O12" s="2"/>
      <c r="P12" s="124" t="s">
        <v>115</v>
      </c>
      <c r="Q12" s="120"/>
      <c r="R12" s="120"/>
      <c r="S12" s="171">
        <f>SUM(S8:S11)</f>
        <v>1585399073</v>
      </c>
      <c r="T12" s="171">
        <f>SUM(T8:T11)</f>
        <v>1810654160</v>
      </c>
      <c r="U12" s="110"/>
      <c r="V12" s="2"/>
      <c r="W12" s="2"/>
      <c r="X12" s="2"/>
      <c r="Y12" s="2"/>
      <c r="Z12" s="2"/>
    </row>
    <row r="13" spans="1:26" ht="12.75" customHeight="1" x14ac:dyDescent="0.2">
      <c r="A13" s="24"/>
      <c r="B13" s="111" t="s">
        <v>116</v>
      </c>
      <c r="C13" s="111"/>
      <c r="D13" s="179"/>
      <c r="E13" s="180">
        <v>1</v>
      </c>
      <c r="F13" s="2"/>
      <c r="G13" s="111" t="s">
        <v>117</v>
      </c>
      <c r="H13" s="125"/>
      <c r="I13" s="168">
        <v>-21914899</v>
      </c>
      <c r="J13" s="168">
        <v>-23027363</v>
      </c>
      <c r="K13" s="168">
        <v>-25242799</v>
      </c>
      <c r="L13" s="172">
        <v>0</v>
      </c>
      <c r="M13" s="173">
        <v>0</v>
      </c>
      <c r="N13" s="181">
        <f>K13+M13-L13</f>
        <v>-25242799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43829798</v>
      </c>
      <c r="J14" s="183">
        <v>46054726</v>
      </c>
      <c r="K14" s="183">
        <v>50485598</v>
      </c>
      <c r="L14" s="184">
        <v>0</v>
      </c>
      <c r="M14" s="185">
        <v>0</v>
      </c>
      <c r="N14" s="186">
        <f>K14+M14-L14</f>
        <v>50485598</v>
      </c>
      <c r="O14" s="2"/>
      <c r="P14" s="111" t="s">
        <v>120</v>
      </c>
      <c r="Q14" s="123"/>
      <c r="R14" s="123"/>
      <c r="S14" s="168">
        <v>8092877</v>
      </c>
      <c r="T14" s="168">
        <v>8163312</v>
      </c>
      <c r="U14" s="110"/>
      <c r="V14" s="2"/>
      <c r="W14" s="2"/>
      <c r="X14" s="2"/>
      <c r="Y14" s="2"/>
      <c r="Z14" s="2"/>
    </row>
    <row r="15" spans="1:26" ht="12.75" customHeight="1" x14ac:dyDescent="0.2">
      <c r="A15" s="24"/>
      <c r="B15" s="2"/>
      <c r="C15" s="2"/>
      <c r="D15" s="2"/>
      <c r="E15" s="2"/>
      <c r="F15" s="2"/>
      <c r="G15" s="122" t="s">
        <v>121</v>
      </c>
      <c r="H15" s="125"/>
      <c r="I15" s="171">
        <f t="shared" ref="I15:N15" si="1">I12-SUM(I13:I14)</f>
        <v>45808563</v>
      </c>
      <c r="J15" s="171">
        <f t="shared" si="1"/>
        <v>45551133</v>
      </c>
      <c r="K15" s="171">
        <f t="shared" si="1"/>
        <v>47211823</v>
      </c>
      <c r="L15" s="177">
        <f t="shared" si="1"/>
        <v>0</v>
      </c>
      <c r="M15" s="178">
        <f t="shared" si="1"/>
        <v>0</v>
      </c>
      <c r="N15" s="171">
        <f t="shared" si="1"/>
        <v>47211823</v>
      </c>
      <c r="O15" s="2"/>
      <c r="P15" s="111" t="s">
        <v>122</v>
      </c>
      <c r="Q15" s="120"/>
      <c r="R15" s="120"/>
      <c r="S15" s="168">
        <v>2562298</v>
      </c>
      <c r="T15" s="168">
        <v>2544519</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426210717</v>
      </c>
      <c r="T16" s="168">
        <v>567928902</v>
      </c>
      <c r="U16" s="110"/>
      <c r="V16" s="2"/>
      <c r="W16" s="2"/>
      <c r="X16" s="2"/>
      <c r="Y16" s="2"/>
      <c r="Z16" s="2"/>
    </row>
    <row r="17" spans="1:26" ht="15" customHeight="1" x14ac:dyDescent="0.2">
      <c r="A17" s="24"/>
      <c r="B17" s="111" t="s">
        <v>126</v>
      </c>
      <c r="C17" s="111"/>
      <c r="D17" s="126">
        <v>0</v>
      </c>
      <c r="E17" s="187">
        <v>61700</v>
      </c>
      <c r="F17" s="2"/>
      <c r="G17" s="122" t="s">
        <v>127</v>
      </c>
      <c r="H17" s="111"/>
      <c r="I17" s="171">
        <f t="shared" ref="I17:N17" si="2">I15-SUM(I16)</f>
        <v>45808563</v>
      </c>
      <c r="J17" s="171">
        <f t="shared" si="2"/>
        <v>45551133</v>
      </c>
      <c r="K17" s="171">
        <f t="shared" si="2"/>
        <v>47211823</v>
      </c>
      <c r="L17" s="177">
        <f t="shared" si="2"/>
        <v>0</v>
      </c>
      <c r="M17" s="178">
        <f t="shared" si="2"/>
        <v>0</v>
      </c>
      <c r="N17" s="171">
        <f t="shared" si="2"/>
        <v>47211823</v>
      </c>
      <c r="O17" s="2"/>
      <c r="P17" s="124" t="s">
        <v>128</v>
      </c>
      <c r="Q17" s="120"/>
      <c r="R17" s="120"/>
      <c r="S17" s="188">
        <f>SUM(S12:S16)</f>
        <v>2022264965</v>
      </c>
      <c r="T17" s="188">
        <f>SUM(T12:T16)</f>
        <v>2389290893</v>
      </c>
      <c r="U17" s="110"/>
      <c r="V17" s="2"/>
      <c r="W17" s="2"/>
      <c r="X17" s="2"/>
      <c r="Y17" s="2"/>
      <c r="Z17" s="2"/>
    </row>
    <row r="18" spans="1:26" ht="12.75" customHeight="1" x14ac:dyDescent="0.2">
      <c r="A18" s="127"/>
      <c r="B18" s="128" t="s">
        <v>129</v>
      </c>
      <c r="C18" s="128"/>
      <c r="D18" s="129"/>
      <c r="E18" s="189">
        <f>+IF(ISERROR(E17/E19),"NA",E17/E19)</f>
        <v>0.78299492385786806</v>
      </c>
      <c r="F18" s="2"/>
      <c r="G18" s="111" t="s">
        <v>130</v>
      </c>
      <c r="H18" s="111"/>
      <c r="I18" s="168">
        <v>8189239</v>
      </c>
      <c r="J18" s="168">
        <v>8383018</v>
      </c>
      <c r="K18" s="168">
        <v>8821697</v>
      </c>
      <c r="L18" s="172">
        <v>0</v>
      </c>
      <c r="M18" s="173">
        <v>0</v>
      </c>
      <c r="N18" s="181">
        <f>K18+M18-L18</f>
        <v>8821697</v>
      </c>
      <c r="O18" s="2"/>
      <c r="P18" s="111"/>
      <c r="Q18" s="111"/>
      <c r="R18" s="111"/>
      <c r="S18" s="111"/>
      <c r="T18" s="111"/>
      <c r="U18" s="110"/>
      <c r="V18" s="2"/>
      <c r="W18" s="2"/>
      <c r="X18" s="2"/>
      <c r="Y18" s="2"/>
      <c r="Z18" s="2"/>
    </row>
    <row r="19" spans="1:26" ht="15" customHeight="1" x14ac:dyDescent="0.2">
      <c r="A19" s="24"/>
      <c r="B19" s="111" t="s">
        <v>131</v>
      </c>
      <c r="C19" s="111"/>
      <c r="D19" s="190">
        <v>0</v>
      </c>
      <c r="E19" s="191">
        <v>78800</v>
      </c>
      <c r="F19" s="2"/>
      <c r="G19" s="111" t="s">
        <v>132</v>
      </c>
      <c r="H19" s="111"/>
      <c r="I19" s="183">
        <v>21245</v>
      </c>
      <c r="J19" s="183">
        <v>21731</v>
      </c>
      <c r="K19" s="183">
        <v>20277</v>
      </c>
      <c r="L19" s="184">
        <v>0</v>
      </c>
      <c r="M19" s="185">
        <v>0</v>
      </c>
      <c r="N19" s="192">
        <f>K19+M19-L19</f>
        <v>20277</v>
      </c>
      <c r="O19" s="2"/>
      <c r="P19" s="111" t="s">
        <v>133</v>
      </c>
      <c r="Q19" s="123"/>
      <c r="R19" s="123"/>
      <c r="S19" s="168">
        <v>1514664850</v>
      </c>
      <c r="T19" s="168">
        <v>1672534846</v>
      </c>
      <c r="U19" s="110"/>
      <c r="V19" s="2"/>
      <c r="W19" s="2"/>
      <c r="X19" s="2"/>
      <c r="Y19" s="2"/>
      <c r="Z19" s="2"/>
    </row>
    <row r="20" spans="1:26" ht="15" customHeight="1" x14ac:dyDescent="0.2">
      <c r="A20" s="24"/>
      <c r="B20" s="111" t="s">
        <v>134</v>
      </c>
      <c r="C20" s="111"/>
      <c r="D20" s="190">
        <v>0</v>
      </c>
      <c r="E20" s="191">
        <v>55200</v>
      </c>
      <c r="F20" s="2"/>
      <c r="G20" s="111" t="s">
        <v>135</v>
      </c>
      <c r="H20" s="111"/>
      <c r="I20" s="183">
        <v>0</v>
      </c>
      <c r="J20" s="183">
        <v>0</v>
      </c>
      <c r="K20" s="183">
        <v>0</v>
      </c>
      <c r="L20" s="184">
        <v>0</v>
      </c>
      <c r="M20" s="185">
        <v>0</v>
      </c>
      <c r="N20" s="186">
        <f>K20+M20-L20</f>
        <v>0</v>
      </c>
      <c r="O20" s="2"/>
      <c r="P20" s="111" t="s">
        <v>136</v>
      </c>
      <c r="Q20" s="176"/>
      <c r="R20" s="176"/>
      <c r="S20" s="168">
        <v>38102621</v>
      </c>
      <c r="T20" s="168">
        <v>36797946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37598079</v>
      </c>
      <c r="J21" s="188">
        <f t="shared" si="3"/>
        <v>37146384</v>
      </c>
      <c r="K21" s="188">
        <f t="shared" si="3"/>
        <v>38369849</v>
      </c>
      <c r="L21" s="193">
        <f t="shared" si="3"/>
        <v>0</v>
      </c>
      <c r="M21" s="194">
        <f t="shared" si="3"/>
        <v>0</v>
      </c>
      <c r="N21" s="188">
        <f t="shared" si="3"/>
        <v>38369849</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0.17877092106119985</v>
      </c>
      <c r="J22" s="189">
        <f t="shared" si="4"/>
        <v>0.18403533453273269</v>
      </c>
      <c r="K22" s="189">
        <f t="shared" si="4"/>
        <v>0.18685355572903847</v>
      </c>
      <c r="L22" s="195" t="str">
        <f t="shared" si="4"/>
        <v>NA</v>
      </c>
      <c r="M22" s="196" t="str">
        <f t="shared" si="4"/>
        <v>NA</v>
      </c>
      <c r="N22" s="189">
        <f t="shared" si="4"/>
        <v>0.18685355572903847</v>
      </c>
      <c r="O22" s="2"/>
      <c r="P22" s="124" t="s">
        <v>141</v>
      </c>
      <c r="Q22" s="123"/>
      <c r="R22" s="123"/>
      <c r="S22" s="171">
        <f>SUM(S19:S21)</f>
        <v>1552767471</v>
      </c>
      <c r="T22" s="171">
        <f>SUM(T19:T21)</f>
        <v>1709332792</v>
      </c>
      <c r="U22" s="110"/>
      <c r="V22" s="2"/>
      <c r="W22" s="2"/>
      <c r="X22" s="2"/>
      <c r="Y22" s="2"/>
      <c r="Z22" s="2"/>
    </row>
    <row r="23" spans="1:26" ht="15" customHeight="1" x14ac:dyDescent="0.2">
      <c r="A23" s="24"/>
      <c r="B23" s="111" t="s">
        <v>142</v>
      </c>
      <c r="C23" s="111"/>
      <c r="D23" s="111"/>
      <c r="E23" s="197">
        <f>+T40</f>
        <v>8355.6750940000002</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515545153.29980004</v>
      </c>
      <c r="F24" s="2"/>
      <c r="G24" s="111" t="s">
        <v>144</v>
      </c>
      <c r="H24" s="111"/>
      <c r="I24" s="168">
        <v>8355.6750940000002</v>
      </c>
      <c r="J24" s="168">
        <v>8355.6750940000002</v>
      </c>
      <c r="K24" s="168">
        <v>8355.6750940000002</v>
      </c>
      <c r="L24" s="172">
        <v>0</v>
      </c>
      <c r="M24" s="173">
        <v>0</v>
      </c>
      <c r="N24" s="181">
        <f>+IF(ISERROR(K24+M24-L24),"NA",K24+M24-L24)</f>
        <v>8355.6750940000002</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4499.705718212791</v>
      </c>
      <c r="J25" s="199">
        <f>+IF(ISERROR(J21/J24),"NA",J21/J24)</f>
        <v>4445.6472495769831</v>
      </c>
      <c r="K25" s="199">
        <f>+IF(ISERROR(K21/K24),"NA",K21/K24)</f>
        <v>4592.0704872251945</v>
      </c>
      <c r="L25" s="200" t="str">
        <f>+IF(ISERROR(L21/L24),"NA",L21/L24)</f>
        <v>NA</v>
      </c>
      <c r="M25" s="201" t="str">
        <f>+IF(ISERROR(M21/M24),"NA",M21/M24)</f>
        <v>NA</v>
      </c>
      <c r="N25" s="199" t="str">
        <f>+IF(ISERROR(K25+M25-L25),"NA",K25+M25-L25)</f>
        <v>NA</v>
      </c>
      <c r="O25" s="2"/>
      <c r="P25" s="133" t="s">
        <v>147</v>
      </c>
      <c r="Q25" s="134"/>
      <c r="R25" s="134"/>
      <c r="S25" s="168">
        <v>336896883</v>
      </c>
      <c r="T25" s="168">
        <v>508387648</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1889664354</v>
      </c>
      <c r="T26" s="171">
        <f>T22+SUM(T24:T25)</f>
        <v>2217720440</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20277</v>
      </c>
      <c r="F28" s="2"/>
      <c r="G28" s="265" t="s">
        <v>152</v>
      </c>
      <c r="H28" s="263"/>
      <c r="I28" s="263"/>
      <c r="J28" s="263"/>
      <c r="K28" s="263"/>
      <c r="L28" s="263"/>
      <c r="M28" s="263"/>
      <c r="N28" s="263"/>
      <c r="O28" s="2"/>
      <c r="P28" s="111" t="s">
        <v>132</v>
      </c>
      <c r="Q28" s="136"/>
      <c r="R28" s="136"/>
      <c r="S28" s="168">
        <v>21731</v>
      </c>
      <c r="T28" s="168">
        <v>20277</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67723462</v>
      </c>
      <c r="J29" s="204">
        <f t="shared" si="5"/>
        <v>68578496</v>
      </c>
      <c r="K29" s="204">
        <f t="shared" si="5"/>
        <v>72454622</v>
      </c>
      <c r="L29" s="205">
        <f t="shared" si="5"/>
        <v>0</v>
      </c>
      <c r="M29" s="206">
        <f t="shared" si="5"/>
        <v>0</v>
      </c>
      <c r="N29" s="204">
        <f t="shared" si="5"/>
        <v>72454622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515565430.29980004</v>
      </c>
      <c r="F30" s="207"/>
      <c r="G30" s="111" t="s">
        <v>157</v>
      </c>
      <c r="H30" s="111"/>
      <c r="I30" s="209">
        <v>0</v>
      </c>
      <c r="J30" s="209">
        <v>0</v>
      </c>
      <c r="K30" s="209">
        <v>0</v>
      </c>
      <c r="L30" s="172">
        <v>0</v>
      </c>
      <c r="M30" s="173">
        <v>0</v>
      </c>
      <c r="N30" s="174">
        <f>K30+M30-L30</f>
        <v>0</v>
      </c>
      <c r="O30" s="2"/>
      <c r="P30" s="133" t="s">
        <v>158</v>
      </c>
      <c r="Q30" s="210"/>
      <c r="R30" s="210"/>
      <c r="S30" s="168">
        <v>196209168</v>
      </c>
      <c r="T30" s="168">
        <v>224558726</v>
      </c>
      <c r="U30" s="2"/>
      <c r="V30" s="2"/>
      <c r="W30" s="2"/>
      <c r="X30" s="2"/>
      <c r="Y30" s="2"/>
      <c r="Z30" s="2"/>
    </row>
    <row r="31" spans="1:26" ht="15" customHeight="1" x14ac:dyDescent="0.2">
      <c r="A31" s="24"/>
      <c r="B31" s="2"/>
      <c r="C31" s="2"/>
      <c r="D31" s="2"/>
      <c r="E31" s="2"/>
      <c r="F31" s="207"/>
      <c r="G31" s="122" t="s">
        <v>159</v>
      </c>
      <c r="H31" s="111"/>
      <c r="I31" s="171">
        <f t="shared" ref="I31:N31" si="6">SUM(I29:I30)</f>
        <v>67723462</v>
      </c>
      <c r="J31" s="171">
        <f t="shared" si="6"/>
        <v>68578496</v>
      </c>
      <c r="K31" s="171">
        <f t="shared" si="6"/>
        <v>72454622</v>
      </c>
      <c r="L31" s="177">
        <f t="shared" si="6"/>
        <v>0</v>
      </c>
      <c r="M31" s="178">
        <f t="shared" si="6"/>
        <v>0</v>
      </c>
      <c r="N31" s="171">
        <f t="shared" si="6"/>
        <v>72454622</v>
      </c>
      <c r="O31" s="2"/>
      <c r="P31" s="124" t="s">
        <v>160</v>
      </c>
      <c r="Q31" s="210"/>
      <c r="R31" s="210"/>
      <c r="S31" s="188">
        <f>S26+SUM(S28:S30)</f>
        <v>2085895253</v>
      </c>
      <c r="T31" s="188">
        <f>T26+SUM(T28:T30)</f>
        <v>2442299443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-63630288</v>
      </c>
      <c r="T32" s="211">
        <f>T17-T31</f>
        <v>-53008550</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45808563</v>
      </c>
      <c r="J34" s="204">
        <f t="shared" si="8"/>
        <v>45551133</v>
      </c>
      <c r="K34" s="204">
        <f t="shared" si="8"/>
        <v>47211823</v>
      </c>
      <c r="L34" s="213">
        <f t="shared" si="8"/>
        <v>0</v>
      </c>
      <c r="M34" s="214">
        <f t="shared" si="8"/>
        <v>0</v>
      </c>
      <c r="N34" s="204">
        <f t="shared" si="8"/>
        <v>47211823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7.1157010563080441</v>
      </c>
      <c r="D35" s="215">
        <f>IF(ISERROR($E$30/D36),"NA",$E$30/D36)</f>
        <v>6.7992651626459155</v>
      </c>
      <c r="E35" s="215">
        <f>IF(ISERROR($E$30/E36),"NA",$E$30/E36)</f>
        <v>6.5493260487749314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8355.6750940000002</v>
      </c>
      <c r="U35" s="110"/>
      <c r="V35" s="2"/>
      <c r="W35" s="2"/>
      <c r="X35" s="2"/>
      <c r="Y35" s="2"/>
      <c r="Z35" s="2"/>
    </row>
    <row r="36" spans="1:26" ht="15" customHeight="1" x14ac:dyDescent="0.2">
      <c r="A36" s="24"/>
      <c r="B36" s="111" t="s">
        <v>170</v>
      </c>
      <c r="C36" s="204">
        <f>N10</f>
        <v>72454622</v>
      </c>
      <c r="D36" s="166">
        <v>75826639.786345556</v>
      </c>
      <c r="E36" s="166">
        <v>78720379.236003667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10.920261018088627</v>
      </c>
      <c r="D37" s="215">
        <f>IF(ISERROR($E$30/D38),"NA",$E$30/D38)</f>
        <v>10.434635985932553</v>
      </c>
      <c r="E37" s="215">
        <f>IF(ISERROR($E$30/E38),"NA",$E$30/E38)</f>
        <v>10.05106164230814</v>
      </c>
      <c r="F37" s="2"/>
      <c r="G37" s="122" t="s">
        <v>174</v>
      </c>
      <c r="H37" s="111"/>
      <c r="I37" s="171">
        <f t="shared" ref="I37:N37" si="10">SUM(I34:I36)</f>
        <v>45808563</v>
      </c>
      <c r="J37" s="171">
        <f t="shared" si="10"/>
        <v>45551133</v>
      </c>
      <c r="K37" s="171">
        <f t="shared" si="10"/>
        <v>47211823</v>
      </c>
      <c r="L37" s="177">
        <f t="shared" si="10"/>
        <v>0</v>
      </c>
      <c r="M37" s="178">
        <f t="shared" si="10"/>
        <v>0</v>
      </c>
      <c r="N37" s="171">
        <f t="shared" si="10"/>
        <v>47211823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47211823</v>
      </c>
      <c r="D38" s="166">
        <v>49409048.000798412</v>
      </c>
      <c r="E38" s="166">
        <v>51294624.25437925</v>
      </c>
      <c r="F38" s="2"/>
      <c r="G38" s="128" t="s">
        <v>162</v>
      </c>
      <c r="H38" s="128"/>
      <c r="I38" s="189">
        <f t="shared" ref="I38:N38" si="11">IF(ISERROR(I37/I10),"NA",I37/I10)</f>
        <v>0.67640610280673485</v>
      </c>
      <c r="J38" s="189">
        <f t="shared" si="11"/>
        <v>0.66421889742230567</v>
      </c>
      <c r="K38" s="189">
        <f t="shared" si="11"/>
        <v>0.65160540068789541</v>
      </c>
      <c r="L38" s="195" t="str">
        <f t="shared" si="11"/>
        <v>NA</v>
      </c>
      <c r="M38" s="196" t="str">
        <f t="shared" si="11"/>
        <v>NA</v>
      </c>
      <c r="N38" s="189">
        <f t="shared" si="11"/>
        <v>0.65160540068789541</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10.920261018088627</v>
      </c>
      <c r="D39" s="215">
        <f>IF(ISERROR($E$30/D40),"NA",$E$30/D40)</f>
        <v>10.434635985932553</v>
      </c>
      <c r="E39" s="215">
        <f>IF(ISERROR($E$30/E40),"NA",$E$30/E40)</f>
        <v>10.05106164230814</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47211823</v>
      </c>
      <c r="D40" s="166">
        <v>49409048.000798412</v>
      </c>
      <c r="E40" s="166">
        <v>51294624.25437925</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8355.6750940000002</v>
      </c>
      <c r="U40" s="110"/>
      <c r="V40" s="2"/>
      <c r="W40" s="2"/>
      <c r="X40" s="2"/>
      <c r="Y40" s="2"/>
      <c r="Z40" s="2"/>
    </row>
    <row r="41" spans="1:26" ht="12.75" customHeight="1" x14ac:dyDescent="0.2">
      <c r="A41" s="24"/>
      <c r="B41" s="111" t="s">
        <v>181</v>
      </c>
      <c r="C41" s="215">
        <f>IF(ISERROR($E$17/N52),"NA",E17/N52)</f>
        <v>13.436204904006788</v>
      </c>
      <c r="D41" s="215">
        <f>IF(ISERROR($E$17/D42),"NA",$E$17/D42)</f>
        <v>15.297404050466859</v>
      </c>
      <c r="E41" s="215">
        <f>IF(ISERROR($E$17/E42),"NA",$E$17/E42)</f>
        <v>14.735075692704706</v>
      </c>
      <c r="F41" s="2"/>
      <c r="G41" s="122" t="s">
        <v>182</v>
      </c>
      <c r="H41" s="111"/>
      <c r="I41" s="171">
        <f t="shared" ref="I41:N41" si="13">I40+I37</f>
        <v>45808563</v>
      </c>
      <c r="J41" s="171">
        <f t="shared" si="13"/>
        <v>45551133</v>
      </c>
      <c r="K41" s="171">
        <f t="shared" si="13"/>
        <v>47211823</v>
      </c>
      <c r="L41" s="177">
        <f t="shared" si="13"/>
        <v>0</v>
      </c>
      <c r="M41" s="178">
        <f t="shared" si="13"/>
        <v>0</v>
      </c>
      <c r="N41" s="171">
        <f t="shared" si="13"/>
        <v>47211823</v>
      </c>
      <c r="O41" s="2"/>
      <c r="P41" s="111"/>
      <c r="Q41" s="111"/>
      <c r="R41" s="111"/>
      <c r="S41" s="111"/>
      <c r="T41" s="111"/>
      <c r="U41" s="110"/>
      <c r="V41" s="2"/>
      <c r="W41" s="2"/>
      <c r="X41" s="2"/>
      <c r="Y41" s="2"/>
      <c r="Z41" s="2"/>
    </row>
    <row r="42" spans="1:26" ht="15" customHeight="1" x14ac:dyDescent="0.2">
      <c r="A42" s="24"/>
      <c r="B42" s="111" t="s">
        <v>170</v>
      </c>
      <c r="C42" s="199">
        <f>N52</f>
        <v>4592.0704872251945</v>
      </c>
      <c r="D42" s="187">
        <v>4033.3640790586942</v>
      </c>
      <c r="E42" s="187">
        <v>4187.2876181116253</v>
      </c>
      <c r="F42" s="2"/>
      <c r="G42" s="128" t="s">
        <v>162</v>
      </c>
      <c r="H42" s="128"/>
      <c r="I42" s="189">
        <f t="shared" ref="I42:N42" si="14">IF(ISERROR(I41/I10),"NA",I41/I10)</f>
        <v>0.67640610280673485</v>
      </c>
      <c r="J42" s="189">
        <f t="shared" si="14"/>
        <v>0.66421889742230567</v>
      </c>
      <c r="K42" s="189">
        <f t="shared" si="14"/>
        <v>0.65160540068789541</v>
      </c>
      <c r="L42" s="195" t="str">
        <f t="shared" si="14"/>
        <v>NA</v>
      </c>
      <c r="M42" s="196" t="str">
        <f t="shared" si="14"/>
        <v>NA</v>
      </c>
      <c r="N42" s="189">
        <f t="shared" si="14"/>
        <v>0.65160540068789541</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37598079</v>
      </c>
      <c r="J44" s="204">
        <f t="shared" si="15"/>
        <v>37146384</v>
      </c>
      <c r="K44" s="204">
        <f t="shared" si="15"/>
        <v>38369849</v>
      </c>
      <c r="L44" s="213">
        <f t="shared" si="15"/>
        <v>0</v>
      </c>
      <c r="M44" s="214">
        <f t="shared" si="15"/>
        <v>0</v>
      </c>
      <c r="N44" s="204">
        <f t="shared" si="15"/>
        <v>38369849</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0.22440791549556774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0.18238011762370823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1.7395155013358556E-2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37598079</v>
      </c>
      <c r="J49" s="188">
        <f t="shared" si="19"/>
        <v>37146384</v>
      </c>
      <c r="K49" s="188">
        <f t="shared" si="19"/>
        <v>38369849</v>
      </c>
      <c r="L49" s="193">
        <f t="shared" si="19"/>
        <v>0</v>
      </c>
      <c r="M49" s="194">
        <f t="shared" si="19"/>
        <v>0</v>
      </c>
      <c r="N49" s="188">
        <f t="shared" si="19"/>
        <v>38369849</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0.55517065858210257</v>
      </c>
      <c r="J50" s="189">
        <f t="shared" si="20"/>
        <v>0.54166227267509626</v>
      </c>
      <c r="K50" s="189">
        <f t="shared" si="20"/>
        <v>0.52957075671445775</v>
      </c>
      <c r="L50" s="195" t="str">
        <f t="shared" si="20"/>
        <v>NA</v>
      </c>
      <c r="M50" s="196" t="str">
        <f t="shared" si="20"/>
        <v>NA</v>
      </c>
      <c r="N50" s="189">
        <f t="shared" si="20"/>
        <v>0.52957075671445775</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4499.705718212791</v>
      </c>
      <c r="J52" s="199">
        <f t="shared" si="21"/>
        <v>4445.6472495769831</v>
      </c>
      <c r="K52" s="199">
        <f t="shared" si="21"/>
        <v>4592.0704872251945</v>
      </c>
      <c r="L52" s="200">
        <f t="shared" si="21"/>
        <v>0</v>
      </c>
      <c r="M52" s="201">
        <f t="shared" si="21"/>
        <v>0</v>
      </c>
      <c r="N52" s="199">
        <f t="shared" si="21"/>
        <v>4592.0704872251945</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1008160</v>
      </c>
      <c r="J58" s="168">
        <v>1480121</v>
      </c>
      <c r="K58" s="168">
        <v>1453488</v>
      </c>
      <c r="L58" s="172">
        <v>0</v>
      </c>
      <c r="M58" s="173">
        <v>0</v>
      </c>
      <c r="N58" s="181">
        <f>K58+M58-L58</f>
        <v>1453488</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1.4886421488612026E-2</v>
      </c>
      <c r="J59" s="241">
        <f t="shared" si="23"/>
        <v>2.1582873441843928E-2</v>
      </c>
      <c r="K59" s="241">
        <f t="shared" si="23"/>
        <v>2.0060666385092726E-2</v>
      </c>
      <c r="L59" s="244" t="str">
        <f t="shared" si="23"/>
        <v>NA</v>
      </c>
      <c r="M59" s="245" t="str">
        <f t="shared" si="23"/>
        <v>NA</v>
      </c>
      <c r="N59" s="241">
        <f t="shared" si="23"/>
        <v>2.0060666385092726E-2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5.6521012067689558E-2</v>
      </c>
      <c r="D61" s="189">
        <f>IF(ISERROR(K41/J41-1),0,K41/J41-1)</f>
        <v>3.6457710063984683E-2</v>
      </c>
      <c r="E61" s="189">
        <f>IF(ISERROR(K52/J52-1),0,K52/J52-1)</f>
        <v>3.2936314877916706E-2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3.434036197821122E-2</v>
      </c>
      <c r="D62" s="189">
        <f>IF(ISERROR((K41/I41)^(1/2)-1),0,(K41/I41)^(1/2)-1)</f>
        <v>1.5201032949779147E-2</v>
      </c>
      <c r="E62" s="189">
        <f>IF(ISERROR((K52/I52)^(1/2)-1),0,(K52/I52)^(1/2)-1)</f>
        <v>1.0211288096538818E-2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4.6539719527424417E-2</v>
      </c>
      <c r="D64" s="189">
        <f>IF(ISERROR(D38/K41-1),0,D38/K41-1)</f>
        <v>4.6539719527424639E-2</v>
      </c>
      <c r="E64" s="189">
        <f>IF(ISERROR(D42/K52-1),0,D42/K52-1)</f>
        <v>-0.12166764637450156</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4.2342729069829055E-2</v>
      </c>
      <c r="D65" s="189">
        <f>IF(ISERROR((E38/K41)^(1/2)-1),0,(E38/K41)^(1/2)-1)</f>
        <v>4.2342729069829055E-2</v>
      </c>
      <c r="E65" s="189">
        <f>IF(ISERROR((E42/K52)^(1/2)-1),0,(E42/K52)^(1/2)-1)</f>
        <v>-4.5090698775551386E-2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3.8162570012487927E-2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Công thương Việt Nam (HOSE:CTG)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1685290589</v>
      </c>
      <c r="T9" s="168">
        <v>1957462503</v>
      </c>
      <c r="U9" s="110"/>
      <c r="V9" s="2"/>
      <c r="W9" s="2"/>
      <c r="X9" s="2"/>
      <c r="Y9" s="2"/>
      <c r="Z9" s="2"/>
    </row>
    <row r="10" spans="1:26" ht="15" customHeight="1" x14ac:dyDescent="0.2">
      <c r="A10" s="24"/>
      <c r="B10" s="111" t="s">
        <v>107</v>
      </c>
      <c r="C10" s="111"/>
      <c r="D10" s="121"/>
      <c r="E10" s="150">
        <v>46022</v>
      </c>
      <c r="F10" s="2"/>
      <c r="G10" s="122" t="s">
        <v>23</v>
      </c>
      <c r="H10" s="122"/>
      <c r="I10" s="166">
        <v>70548165</v>
      </c>
      <c r="J10" s="166">
        <v>81908683</v>
      </c>
      <c r="K10" s="166">
        <v>87294789</v>
      </c>
      <c r="L10" s="169">
        <v>0</v>
      </c>
      <c r="M10" s="170">
        <v>0</v>
      </c>
      <c r="N10" s="171">
        <f>K10+M10-L10</f>
        <v>87294789</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214607153</v>
      </c>
      <c r="T11" s="168">
        <v>211880390</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70548165</v>
      </c>
      <c r="J12" s="171">
        <f t="shared" si="0"/>
        <v>81908683</v>
      </c>
      <c r="K12" s="171">
        <f t="shared" si="0"/>
        <v>87294789</v>
      </c>
      <c r="L12" s="177">
        <f t="shared" si="0"/>
        <v>0</v>
      </c>
      <c r="M12" s="178">
        <f t="shared" si="0"/>
        <v>0</v>
      </c>
      <c r="N12" s="171">
        <f t="shared" si="0"/>
        <v>87294789</v>
      </c>
      <c r="O12" s="2"/>
      <c r="P12" s="124" t="s">
        <v>115</v>
      </c>
      <c r="Q12" s="120"/>
      <c r="R12" s="120"/>
      <c r="S12" s="171">
        <f>SUM(S8:S11)</f>
        <v>1899897742</v>
      </c>
      <c r="T12" s="171">
        <f>SUM(T8:T11)</f>
        <v>2169342893</v>
      </c>
      <c r="U12" s="110"/>
      <c r="V12" s="2"/>
      <c r="W12" s="2"/>
      <c r="X12" s="2"/>
      <c r="Y12" s="2"/>
      <c r="Z12" s="2"/>
    </row>
    <row r="13" spans="1:26" ht="12.75" customHeight="1" x14ac:dyDescent="0.2">
      <c r="A13" s="24"/>
      <c r="B13" s="111" t="s">
        <v>116</v>
      </c>
      <c r="C13" s="111"/>
      <c r="D13" s="179"/>
      <c r="E13" s="180">
        <v>1</v>
      </c>
      <c r="F13" s="2"/>
      <c r="G13" s="111" t="s">
        <v>117</v>
      </c>
      <c r="H13" s="125"/>
      <c r="I13" s="168">
        <v>-20443499</v>
      </c>
      <c r="J13" s="168">
        <v>-22545929</v>
      </c>
      <c r="K13" s="168">
        <v>-26552924</v>
      </c>
      <c r="L13" s="172">
        <v>0</v>
      </c>
      <c r="M13" s="173">
        <v>0</v>
      </c>
      <c r="N13" s="181">
        <f>K13+M13-L13</f>
        <v>-26552924</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40886998</v>
      </c>
      <c r="J14" s="183">
        <v>45091858</v>
      </c>
      <c r="K14" s="183">
        <v>53105848</v>
      </c>
      <c r="L14" s="184">
        <v>0</v>
      </c>
      <c r="M14" s="185">
        <v>0</v>
      </c>
      <c r="N14" s="186">
        <f>K14+M14-L14</f>
        <v>53105848</v>
      </c>
      <c r="O14" s="2"/>
      <c r="P14" s="111" t="s">
        <v>120</v>
      </c>
      <c r="Q14" s="123"/>
      <c r="R14" s="123"/>
      <c r="S14" s="168">
        <v>10002157</v>
      </c>
      <c r="T14" s="168">
        <v>10826743</v>
      </c>
      <c r="U14" s="110"/>
      <c r="V14" s="2"/>
      <c r="W14" s="2"/>
      <c r="X14" s="2"/>
      <c r="Y14" s="2"/>
      <c r="Z14" s="2"/>
    </row>
    <row r="15" spans="1:26" ht="12.75" customHeight="1" x14ac:dyDescent="0.2">
      <c r="A15" s="24"/>
      <c r="B15" s="2"/>
      <c r="C15" s="2"/>
      <c r="D15" s="2"/>
      <c r="E15" s="2"/>
      <c r="F15" s="2"/>
      <c r="G15" s="122" t="s">
        <v>121</v>
      </c>
      <c r="H15" s="125"/>
      <c r="I15" s="171">
        <f t="shared" ref="I15:N15" si="1">I12-SUM(I13:I14)</f>
        <v>50104666</v>
      </c>
      <c r="J15" s="171">
        <f t="shared" si="1"/>
        <v>59362754</v>
      </c>
      <c r="K15" s="171">
        <f t="shared" si="1"/>
        <v>60741865</v>
      </c>
      <c r="L15" s="177">
        <f t="shared" si="1"/>
        <v>0</v>
      </c>
      <c r="M15" s="178">
        <f t="shared" si="1"/>
        <v>0</v>
      </c>
      <c r="N15" s="171">
        <f t="shared" si="1"/>
        <v>60741865</v>
      </c>
      <c r="O15" s="2"/>
      <c r="P15" s="111" t="s">
        <v>122</v>
      </c>
      <c r="Q15" s="120"/>
      <c r="R15" s="120"/>
      <c r="S15" s="168">
        <v>3852941</v>
      </c>
      <c r="T15" s="168">
        <v>4097726</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426055686</v>
      </c>
      <c r="T16" s="168">
        <v>535622911</v>
      </c>
      <c r="U16" s="110"/>
      <c r="V16" s="2"/>
      <c r="W16" s="2"/>
      <c r="X16" s="2"/>
      <c r="Y16" s="2"/>
      <c r="Z16" s="2"/>
    </row>
    <row r="17" spans="1:26" ht="15" customHeight="1" x14ac:dyDescent="0.2">
      <c r="A17" s="24"/>
      <c r="B17" s="111" t="s">
        <v>126</v>
      </c>
      <c r="C17" s="111"/>
      <c r="D17" s="126">
        <v>0</v>
      </c>
      <c r="E17" s="187">
        <v>33500</v>
      </c>
      <c r="F17" s="2"/>
      <c r="G17" s="122" t="s">
        <v>127</v>
      </c>
      <c r="H17" s="111"/>
      <c r="I17" s="171">
        <f t="shared" ref="I17:N17" si="2">I15-SUM(I16)</f>
        <v>50104666</v>
      </c>
      <c r="J17" s="171">
        <f t="shared" si="2"/>
        <v>59362754</v>
      </c>
      <c r="K17" s="171">
        <f t="shared" si="2"/>
        <v>60741865</v>
      </c>
      <c r="L17" s="177">
        <f t="shared" si="2"/>
        <v>0</v>
      </c>
      <c r="M17" s="178">
        <f t="shared" si="2"/>
        <v>0</v>
      </c>
      <c r="N17" s="171">
        <f t="shared" si="2"/>
        <v>60741865</v>
      </c>
      <c r="O17" s="2"/>
      <c r="P17" s="124" t="s">
        <v>128</v>
      </c>
      <c r="Q17" s="120"/>
      <c r="R17" s="120"/>
      <c r="S17" s="188">
        <f>SUM(S12:S16)</f>
        <v>2339808526</v>
      </c>
      <c r="T17" s="188">
        <f>SUM(T12:T16)</f>
        <v>2719890273</v>
      </c>
      <c r="U17" s="110"/>
      <c r="V17" s="2"/>
      <c r="W17" s="2"/>
      <c r="X17" s="2"/>
      <c r="Y17" s="2"/>
      <c r="Z17" s="2"/>
    </row>
    <row r="18" spans="1:26" ht="12.75" customHeight="1" x14ac:dyDescent="0.2">
      <c r="A18" s="127"/>
      <c r="B18" s="128" t="s">
        <v>129</v>
      </c>
      <c r="C18" s="128"/>
      <c r="D18" s="129"/>
      <c r="E18" s="189">
        <f>+IF(ISERROR(E17/E19),"NA",E17/E19)</f>
        <v>0.77011494252873558</v>
      </c>
      <c r="F18" s="2"/>
      <c r="G18" s="111" t="s">
        <v>130</v>
      </c>
      <c r="H18" s="111"/>
      <c r="I18" s="168">
        <v>4944903</v>
      </c>
      <c r="J18" s="168">
        <v>6281358</v>
      </c>
      <c r="K18" s="168">
        <v>8572543</v>
      </c>
      <c r="L18" s="172">
        <v>0</v>
      </c>
      <c r="M18" s="173">
        <v>0</v>
      </c>
      <c r="N18" s="181">
        <f>K18+M18-L18</f>
        <v>8572543</v>
      </c>
      <c r="O18" s="2"/>
      <c r="P18" s="111"/>
      <c r="Q18" s="111"/>
      <c r="R18" s="111"/>
      <c r="S18" s="111"/>
      <c r="T18" s="111"/>
      <c r="U18" s="110"/>
      <c r="V18" s="2"/>
      <c r="W18" s="2"/>
      <c r="X18" s="2"/>
      <c r="Y18" s="2"/>
      <c r="Z18" s="2"/>
    </row>
    <row r="19" spans="1:26" ht="15" customHeight="1" x14ac:dyDescent="0.2">
      <c r="A19" s="24"/>
      <c r="B19" s="111" t="s">
        <v>131</v>
      </c>
      <c r="C19" s="111"/>
      <c r="D19" s="190">
        <v>0</v>
      </c>
      <c r="E19" s="191">
        <v>43500</v>
      </c>
      <c r="F19" s="2"/>
      <c r="G19" s="111" t="s">
        <v>132</v>
      </c>
      <c r="H19" s="111"/>
      <c r="I19" s="183">
        <v>141072</v>
      </c>
      <c r="J19" s="183">
        <v>134352</v>
      </c>
      <c r="K19" s="183">
        <v>266785</v>
      </c>
      <c r="L19" s="184">
        <v>0</v>
      </c>
      <c r="M19" s="185">
        <v>0</v>
      </c>
      <c r="N19" s="192">
        <f>K19+M19-L19</f>
        <v>266785</v>
      </c>
      <c r="O19" s="2"/>
      <c r="P19" s="111" t="s">
        <v>133</v>
      </c>
      <c r="Q19" s="123"/>
      <c r="R19" s="123"/>
      <c r="S19" s="168">
        <v>1606316685</v>
      </c>
      <c r="T19" s="168">
        <v>1793732057</v>
      </c>
      <c r="U19" s="110"/>
      <c r="V19" s="2"/>
      <c r="W19" s="2"/>
      <c r="X19" s="2"/>
      <c r="Y19" s="2"/>
      <c r="Z19" s="2"/>
    </row>
    <row r="20" spans="1:26" ht="15" customHeight="1" x14ac:dyDescent="0.2">
      <c r="A20" s="24"/>
      <c r="B20" s="111" t="s">
        <v>134</v>
      </c>
      <c r="C20" s="111"/>
      <c r="D20" s="190">
        <v>0</v>
      </c>
      <c r="E20" s="191">
        <v>25754</v>
      </c>
      <c r="F20" s="2"/>
      <c r="G20" s="111" t="s">
        <v>135</v>
      </c>
      <c r="H20" s="111"/>
      <c r="I20" s="183">
        <v>0</v>
      </c>
      <c r="J20" s="183">
        <v>0</v>
      </c>
      <c r="K20" s="183">
        <v>0</v>
      </c>
      <c r="L20" s="184">
        <v>0</v>
      </c>
      <c r="M20" s="185">
        <v>0</v>
      </c>
      <c r="N20" s="186">
        <f>K20+M20-L20</f>
        <v>0</v>
      </c>
      <c r="O20" s="2"/>
      <c r="P20" s="111" t="s">
        <v>136</v>
      </c>
      <c r="Q20" s="176"/>
      <c r="R20" s="176"/>
      <c r="S20" s="168">
        <v>45892099</v>
      </c>
      <c r="T20" s="168">
        <v>55851516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45018691</v>
      </c>
      <c r="J21" s="188">
        <f t="shared" si="3"/>
        <v>52947044</v>
      </c>
      <c r="K21" s="188">
        <f t="shared" si="3"/>
        <v>51902537</v>
      </c>
      <c r="L21" s="193">
        <f t="shared" si="3"/>
        <v>0</v>
      </c>
      <c r="M21" s="194">
        <f t="shared" si="3"/>
        <v>0</v>
      </c>
      <c r="N21" s="188">
        <f t="shared" si="3"/>
        <v>51902537</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9.8691467177927109E-2</v>
      </c>
      <c r="J22" s="189">
        <f t="shared" si="4"/>
        <v>0.10581311641976718</v>
      </c>
      <c r="K22" s="189">
        <f t="shared" si="4"/>
        <v>0.14113071766894217</v>
      </c>
      <c r="L22" s="195" t="str">
        <f t="shared" si="4"/>
        <v>NA</v>
      </c>
      <c r="M22" s="196" t="str">
        <f t="shared" si="4"/>
        <v>NA</v>
      </c>
      <c r="N22" s="189">
        <f t="shared" si="4"/>
        <v>0.14113071766894217</v>
      </c>
      <c r="O22" s="2"/>
      <c r="P22" s="124" t="s">
        <v>141</v>
      </c>
      <c r="Q22" s="123"/>
      <c r="R22" s="123"/>
      <c r="S22" s="171">
        <f>SUM(S19:S21)</f>
        <v>1652208784</v>
      </c>
      <c r="T22" s="171">
        <f>SUM(T19:T21)</f>
        <v>1849583573</v>
      </c>
      <c r="U22" s="110"/>
      <c r="V22" s="2"/>
      <c r="W22" s="2"/>
      <c r="X22" s="2"/>
      <c r="Y22" s="2"/>
      <c r="Z22" s="2"/>
    </row>
    <row r="23" spans="1:26" ht="15" customHeight="1" x14ac:dyDescent="0.2">
      <c r="A23" s="24"/>
      <c r="B23" s="111" t="s">
        <v>142</v>
      </c>
      <c r="C23" s="111"/>
      <c r="D23" s="111"/>
      <c r="E23" s="197">
        <f>+T40</f>
        <v>7766.9446369999996</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260192645.33949998</v>
      </c>
      <c r="F24" s="2"/>
      <c r="G24" s="111" t="s">
        <v>144</v>
      </c>
      <c r="H24" s="111"/>
      <c r="I24" s="168">
        <v>7766.9446369999996</v>
      </c>
      <c r="J24" s="168">
        <v>7766.9446369999996</v>
      </c>
      <c r="K24" s="168">
        <v>7766.9446369999996</v>
      </c>
      <c r="L24" s="172">
        <v>0</v>
      </c>
      <c r="M24" s="173">
        <v>0</v>
      </c>
      <c r="N24" s="181">
        <f>+IF(ISERROR(K24+M24-L24),"NA",K24+M24-L24)</f>
        <v>7766.9446369999996</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5796.1905361782747</v>
      </c>
      <c r="J25" s="199">
        <f>+IF(ISERROR(J21/J24),"NA",J21/J24)</f>
        <v>6816.9719850675956</v>
      </c>
      <c r="K25" s="199">
        <f>+IF(ISERROR(K21/K24),"NA",K21/K24)</f>
        <v>6682.490918339734</v>
      </c>
      <c r="L25" s="200" t="str">
        <f>+IF(ISERROR(L21/L24),"NA",L21/L24)</f>
        <v>NA</v>
      </c>
      <c r="M25" s="201" t="str">
        <f>+IF(ISERROR(M21/M24),"NA",M21/M24)</f>
        <v>NA</v>
      </c>
      <c r="N25" s="199" t="str">
        <f>+IF(ISERROR(K25+M25-L25),"NA",K25+M25-L25)</f>
        <v>NA</v>
      </c>
      <c r="O25" s="2"/>
      <c r="P25" s="133" t="s">
        <v>147</v>
      </c>
      <c r="Q25" s="134"/>
      <c r="R25" s="134"/>
      <c r="S25" s="168">
        <v>584674240</v>
      </c>
      <c r="T25" s="168">
        <v>738460722</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2236883024</v>
      </c>
      <c r="T26" s="171">
        <f>T22+SUM(T24:T25)</f>
        <v>2588044295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266785</v>
      </c>
      <c r="F28" s="2"/>
      <c r="G28" s="265" t="s">
        <v>152</v>
      </c>
      <c r="H28" s="263"/>
      <c r="I28" s="263"/>
      <c r="J28" s="263"/>
      <c r="K28" s="263"/>
      <c r="L28" s="263"/>
      <c r="M28" s="263"/>
      <c r="N28" s="263"/>
      <c r="O28" s="2"/>
      <c r="P28" s="111" t="s">
        <v>132</v>
      </c>
      <c r="Q28" s="136"/>
      <c r="R28" s="136"/>
      <c r="S28" s="168">
        <v>134352</v>
      </c>
      <c r="T28" s="168">
        <v>266785</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70548165</v>
      </c>
      <c r="J29" s="204">
        <f t="shared" si="5"/>
        <v>81908683</v>
      </c>
      <c r="K29" s="204">
        <f t="shared" si="5"/>
        <v>87294789</v>
      </c>
      <c r="L29" s="205">
        <f t="shared" si="5"/>
        <v>0</v>
      </c>
      <c r="M29" s="206">
        <f t="shared" si="5"/>
        <v>0</v>
      </c>
      <c r="N29" s="204">
        <f t="shared" si="5"/>
        <v>87294789</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260459430.33949998</v>
      </c>
      <c r="F30" s="207"/>
      <c r="G30" s="111" t="s">
        <v>157</v>
      </c>
      <c r="H30" s="111"/>
      <c r="I30" s="209">
        <v>0</v>
      </c>
      <c r="J30" s="209">
        <v>0</v>
      </c>
      <c r="K30" s="209">
        <v>0</v>
      </c>
      <c r="L30" s="172">
        <v>0</v>
      </c>
      <c r="M30" s="173">
        <v>0</v>
      </c>
      <c r="N30" s="174">
        <f>K30+M30-L30</f>
        <v>0</v>
      </c>
      <c r="O30" s="2"/>
      <c r="P30" s="133" t="s">
        <v>158</v>
      </c>
      <c r="Q30" s="210"/>
      <c r="R30" s="210"/>
      <c r="S30" s="168">
        <v>148504708</v>
      </c>
      <c r="T30" s="168">
        <v>179655005</v>
      </c>
      <c r="U30" s="2"/>
      <c r="V30" s="2"/>
      <c r="W30" s="2"/>
      <c r="X30" s="2"/>
      <c r="Y30" s="2"/>
      <c r="Z30" s="2"/>
    </row>
    <row r="31" spans="1:26" ht="15" customHeight="1" x14ac:dyDescent="0.2">
      <c r="A31" s="24"/>
      <c r="B31" s="2"/>
      <c r="C31" s="2"/>
      <c r="D31" s="2"/>
      <c r="E31" s="2"/>
      <c r="F31" s="207"/>
      <c r="G31" s="122" t="s">
        <v>159</v>
      </c>
      <c r="H31" s="111"/>
      <c r="I31" s="171">
        <f t="shared" ref="I31:N31" si="6">SUM(I29:I30)</f>
        <v>70548165</v>
      </c>
      <c r="J31" s="171">
        <f t="shared" si="6"/>
        <v>81908683</v>
      </c>
      <c r="K31" s="171">
        <f t="shared" si="6"/>
        <v>87294789</v>
      </c>
      <c r="L31" s="177">
        <f t="shared" si="6"/>
        <v>0</v>
      </c>
      <c r="M31" s="178">
        <f t="shared" si="6"/>
        <v>0</v>
      </c>
      <c r="N31" s="171">
        <f t="shared" si="6"/>
        <v>87294789</v>
      </c>
      <c r="O31" s="2"/>
      <c r="P31" s="124" t="s">
        <v>160</v>
      </c>
      <c r="Q31" s="210"/>
      <c r="R31" s="210"/>
      <c r="S31" s="188">
        <f>S26+SUM(S28:S30)</f>
        <v>2385522084</v>
      </c>
      <c r="T31" s="188">
        <f>T26+SUM(T28:T30)</f>
        <v>2767966085</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-45713558</v>
      </c>
      <c r="T32" s="211">
        <f>T17-T31</f>
        <v>-48075812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50104666</v>
      </c>
      <c r="J34" s="204">
        <f t="shared" si="8"/>
        <v>59362754</v>
      </c>
      <c r="K34" s="204">
        <f t="shared" si="8"/>
        <v>60741865</v>
      </c>
      <c r="L34" s="213">
        <f t="shared" si="8"/>
        <v>0</v>
      </c>
      <c r="M34" s="214">
        <f t="shared" si="8"/>
        <v>0</v>
      </c>
      <c r="N34" s="204">
        <f t="shared" si="8"/>
        <v>60741865</v>
      </c>
      <c r="O34" s="2"/>
      <c r="P34" s="265" t="s">
        <v>167</v>
      </c>
      <c r="Q34" s="263"/>
      <c r="R34" s="263"/>
      <c r="S34" s="263"/>
      <c r="T34" s="263"/>
      <c r="U34" s="110"/>
      <c r="V34" s="2"/>
      <c r="W34" s="2"/>
      <c r="X34" s="2"/>
      <c r="Y34" s="2"/>
      <c r="Z34" s="2"/>
    </row>
    <row r="35" spans="1:26" ht="12.75" customHeight="1" x14ac:dyDescent="0.2">
      <c r="A35" s="24"/>
      <c r="B35" s="111" t="s">
        <v>168</v>
      </c>
      <c r="C35" s="215">
        <f>IF(ISERROR(E30/N10),"NA",E30/N10)</f>
        <v>2.9836767271354536</v>
      </c>
      <c r="D35" s="215">
        <f>IF(ISERROR($E$30/D36),"NA",$E$30/D36)</f>
        <v>2.7455410245651053</v>
      </c>
      <c r="E35" s="215">
        <f>IF(ISERROR($E$30/E36),"NA",$E$30/E36)</f>
        <v>2.5632358501239549</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7766.9446369999996</v>
      </c>
      <c r="U35" s="110"/>
      <c r="V35" s="2"/>
      <c r="W35" s="2"/>
      <c r="X35" s="2"/>
      <c r="Y35" s="2"/>
      <c r="Z35" s="2"/>
    </row>
    <row r="36" spans="1:26" ht="15" customHeight="1" x14ac:dyDescent="0.2">
      <c r="A36" s="24"/>
      <c r="B36" s="111" t="s">
        <v>170</v>
      </c>
      <c r="C36" s="204">
        <f>N10</f>
        <v>87294789</v>
      </c>
      <c r="D36" s="166">
        <v>94866340.735431865</v>
      </c>
      <c r="E36" s="166">
        <v>101613525.0788196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4.2879722303472239</v>
      </c>
      <c r="D37" s="215">
        <f>IF(ISERROR($E$30/D38),"NA",$E$30/D38)</f>
        <v>3.9457370041281195</v>
      </c>
      <c r="E37" s="215">
        <f>IF(ISERROR($E$30/E38),"NA",$E$30/E38)</f>
        <v>3.6837382700351133</v>
      </c>
      <c r="F37" s="2"/>
      <c r="G37" s="122" t="s">
        <v>174</v>
      </c>
      <c r="H37" s="111"/>
      <c r="I37" s="171">
        <f t="shared" ref="I37:N37" si="10">SUM(I34:I36)</f>
        <v>50104666</v>
      </c>
      <c r="J37" s="171">
        <f t="shared" si="10"/>
        <v>59362754</v>
      </c>
      <c r="K37" s="171">
        <f t="shared" si="10"/>
        <v>60741865</v>
      </c>
      <c r="L37" s="177">
        <f t="shared" si="10"/>
        <v>0</v>
      </c>
      <c r="M37" s="178">
        <f t="shared" si="10"/>
        <v>0</v>
      </c>
      <c r="N37" s="171">
        <f t="shared" si="10"/>
        <v>60741865</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60741865</v>
      </c>
      <c r="D38" s="166">
        <v>66010337.249289908</v>
      </c>
      <c r="E38" s="166">
        <v>70705194.356008708</v>
      </c>
      <c r="F38" s="2"/>
      <c r="G38" s="128" t="s">
        <v>162</v>
      </c>
      <c r="H38" s="128"/>
      <c r="I38" s="189">
        <f t="shared" ref="I38:N38" si="11">IF(ISERROR(I37/I10),"NA",I37/I10)</f>
        <v>0.7102192665110425</v>
      </c>
      <c r="J38" s="189">
        <f t="shared" si="11"/>
        <v>0.72474311423124704</v>
      </c>
      <c r="K38" s="189">
        <f t="shared" si="11"/>
        <v>0.69582463851307319</v>
      </c>
      <c r="L38" s="195" t="str">
        <f t="shared" si="11"/>
        <v>NA</v>
      </c>
      <c r="M38" s="196" t="str">
        <f t="shared" si="11"/>
        <v>NA</v>
      </c>
      <c r="N38" s="189">
        <f t="shared" si="11"/>
        <v>0.69582463851307319</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4.2879722303472239</v>
      </c>
      <c r="D39" s="215">
        <f>IF(ISERROR($E$30/D40),"NA",$E$30/D40)</f>
        <v>3.9457370041281195</v>
      </c>
      <c r="E39" s="215">
        <f>IF(ISERROR($E$30/E40),"NA",$E$30/E40)</f>
        <v>3.6837382700351133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60741865</v>
      </c>
      <c r="D40" s="166">
        <v>66010337.249289908</v>
      </c>
      <c r="E40" s="166">
        <v>70705194.356008708</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7766.9446369999996</v>
      </c>
      <c r="U40" s="110"/>
      <c r="V40" s="2"/>
      <c r="W40" s="2"/>
      <c r="X40" s="2"/>
      <c r="Y40" s="2"/>
      <c r="Z40" s="2"/>
    </row>
    <row r="41" spans="1:26" ht="12.75" customHeight="1" x14ac:dyDescent="0.2">
      <c r="A41" s="24"/>
      <c r="B41" s="111" t="s">
        <v>181</v>
      </c>
      <c r="C41" s="215">
        <f>IF(ISERROR($E$17/N52),"NA",E17/N52)</f>
        <v>5.0131007148937634</v>
      </c>
      <c r="D41" s="215">
        <f>IF(ISERROR($E$17/D42),"NA",$E$17/D42)</f>
        <v>6.9194769875949449</v>
      </c>
      <c r="E41" s="215">
        <f>IF(ISERROR($E$17/E42),"NA",$E$17/E42)</f>
        <v>6.4600205642603745</v>
      </c>
      <c r="F41" s="2"/>
      <c r="G41" s="122" t="s">
        <v>182</v>
      </c>
      <c r="H41" s="111"/>
      <c r="I41" s="171">
        <f t="shared" ref="I41:N41" si="13">I40+I37</f>
        <v>50104666</v>
      </c>
      <c r="J41" s="171">
        <f t="shared" si="13"/>
        <v>59362754</v>
      </c>
      <c r="K41" s="171">
        <f t="shared" si="13"/>
        <v>60741865</v>
      </c>
      <c r="L41" s="177">
        <f t="shared" si="13"/>
        <v>0</v>
      </c>
      <c r="M41" s="178">
        <f t="shared" si="13"/>
        <v>0</v>
      </c>
      <c r="N41" s="171">
        <f t="shared" si="13"/>
        <v>60741865</v>
      </c>
      <c r="O41" s="2"/>
      <c r="P41" s="111"/>
      <c r="Q41" s="111"/>
      <c r="R41" s="111"/>
      <c r="S41" s="111"/>
      <c r="T41" s="111"/>
      <c r="U41" s="110"/>
      <c r="V41" s="2"/>
      <c r="W41" s="2"/>
      <c r="X41" s="2"/>
      <c r="Y41" s="2"/>
      <c r="Z41" s="2"/>
    </row>
    <row r="42" spans="1:26" ht="15" customHeight="1" x14ac:dyDescent="0.2">
      <c r="A42" s="24"/>
      <c r="B42" s="111" t="s">
        <v>170</v>
      </c>
      <c r="C42" s="199">
        <f>N52</f>
        <v>6682.490918339734</v>
      </c>
      <c r="D42" s="187">
        <v>4841.4063750855612</v>
      </c>
      <c r="E42" s="187">
        <v>5185.7420060450704</v>
      </c>
      <c r="F42" s="2"/>
      <c r="G42" s="128" t="s">
        <v>162</v>
      </c>
      <c r="H42" s="128"/>
      <c r="I42" s="189">
        <f t="shared" ref="I42:N42" si="14">IF(ISERROR(I41/I10),"NA",I41/I10)</f>
        <v>0.7102192665110425</v>
      </c>
      <c r="J42" s="189">
        <f t="shared" si="14"/>
        <v>0.72474311423124704</v>
      </c>
      <c r="K42" s="189">
        <f t="shared" si="14"/>
        <v>0.69582463851307319</v>
      </c>
      <c r="L42" s="195" t="str">
        <f t="shared" si="14"/>
        <v>NA</v>
      </c>
      <c r="M42" s="196" t="str">
        <f t="shared" si="14"/>
        <v>NA</v>
      </c>
      <c r="N42" s="189">
        <f t="shared" si="14"/>
        <v>0.69582463851307319</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45018691</v>
      </c>
      <c r="J44" s="204">
        <f t="shared" si="15"/>
        <v>52947044</v>
      </c>
      <c r="K44" s="204">
        <f t="shared" si="15"/>
        <v>51902537</v>
      </c>
      <c r="L44" s="213">
        <f t="shared" si="15"/>
        <v>0</v>
      </c>
      <c r="M44" s="214">
        <f t="shared" si="15"/>
        <v>0</v>
      </c>
      <c r="N44" s="204">
        <f t="shared" si="15"/>
        <v>51902537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0.37019696564641985</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0.31632485612272582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2.0516057995490968E-2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45018691</v>
      </c>
      <c r="J49" s="188">
        <f t="shared" si="19"/>
        <v>52947044</v>
      </c>
      <c r="K49" s="188">
        <f t="shared" si="19"/>
        <v>51902537</v>
      </c>
      <c r="L49" s="193">
        <f t="shared" si="19"/>
        <v>0</v>
      </c>
      <c r="M49" s="194">
        <f t="shared" si="19"/>
        <v>0</v>
      </c>
      <c r="N49" s="188">
        <f t="shared" si="19"/>
        <v>51902537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0.6381270299518067</v>
      </c>
      <c r="J50" s="189">
        <f t="shared" si="20"/>
        <v>0.64641552105043609</v>
      </c>
      <c r="K50" s="189">
        <f t="shared" si="20"/>
        <v>0.59456626901291898</v>
      </c>
      <c r="L50" s="195" t="str">
        <f t="shared" si="20"/>
        <v>NA</v>
      </c>
      <c r="M50" s="196" t="str">
        <f t="shared" si="20"/>
        <v>NA</v>
      </c>
      <c r="N50" s="189">
        <f t="shared" si="20"/>
        <v>0.59456626901291898</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5796.1905361782747</v>
      </c>
      <c r="J52" s="199">
        <f t="shared" si="21"/>
        <v>6816.9719850675956</v>
      </c>
      <c r="K52" s="199">
        <f t="shared" si="21"/>
        <v>6682.490918339734</v>
      </c>
      <c r="L52" s="200">
        <f t="shared" si="21"/>
        <v>0</v>
      </c>
      <c r="M52" s="201">
        <f t="shared" si="21"/>
        <v>0</v>
      </c>
      <c r="N52" s="199">
        <f t="shared" si="21"/>
        <v>6682.490918339734</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804101</v>
      </c>
      <c r="J58" s="168">
        <v>1362079</v>
      </c>
      <c r="K58" s="168">
        <v>2004950</v>
      </c>
      <c r="L58" s="172">
        <v>0</v>
      </c>
      <c r="M58" s="173">
        <v>0</v>
      </c>
      <c r="N58" s="181">
        <f>K58+M58-L58</f>
        <v>2004950</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1.1397900994306515E-2</v>
      </c>
      <c r="J59" s="241">
        <f t="shared" si="23"/>
        <v>1.662923819688323E-2</v>
      </c>
      <c r="K59" s="241">
        <f t="shared" si="23"/>
        <v>2.2967579427908349E-2</v>
      </c>
      <c r="L59" s="244" t="str">
        <f t="shared" si="23"/>
        <v>NA</v>
      </c>
      <c r="M59" s="245" t="str">
        <f t="shared" si="23"/>
        <v>NA</v>
      </c>
      <c r="N59" s="241">
        <f t="shared" si="23"/>
        <v>2.2967579427908349E-2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6.5757448450245448E-2</v>
      </c>
      <c r="D61" s="189">
        <f>IF(ISERROR(K41/J41-1),0,K41/J41-1)</f>
        <v>2.32319241792589E-2</v>
      </c>
      <c r="E61" s="189">
        <f>IF(ISERROR(K52/J52-1),0,K52/J52-1)</f>
        <v>-1.972739025808512E-2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0.1123752024044633</v>
      </c>
      <c r="D62" s="189">
        <f>IF(ISERROR((K41/I41)^(1/2)-1),0,(K41/I41)^(1/2)-1)</f>
        <v>0.10104476251698435</v>
      </c>
      <c r="E62" s="189">
        <f>IF(ISERROR((K52/I52)^(1/2)-1),0,(K52/I52)^(1/2)-1)</f>
        <v>7.3736859378187303E-2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8.6735437729643428E-2</v>
      </c>
      <c r="D64" s="189">
        <f>IF(ISERROR(D38/K41-1),0,D38/K41-1)</f>
        <v>8.6735437729643428E-2</v>
      </c>
      <c r="E64" s="189">
        <f>IF(ISERROR(D42/K52-1),0,D42/K52-1)</f>
        <v>-0.275508723581115</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7.8901008581249377E-2</v>
      </c>
      <c r="D65" s="189">
        <f>IF(ISERROR((E38/K41)^(1/2)-1),0,(E38/K41)^(1/2)-1)</f>
        <v>7.8901008581248933E-2</v>
      </c>
      <c r="E65" s="189">
        <f>IF(ISERROR((E42/K52)^(1/2)-1),0,(E42/K52)^(1/2)-1)</f>
        <v>-0.11908041673946468</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7.1123058938307657E-2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Quân đội (HOSE:MBB)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765047985</v>
      </c>
      <c r="T9" s="168">
        <v>1070868777</v>
      </c>
      <c r="U9" s="110"/>
      <c r="V9" s="2"/>
      <c r="W9" s="2"/>
      <c r="X9" s="2"/>
      <c r="Y9" s="2"/>
      <c r="Z9" s="2"/>
    </row>
    <row r="10" spans="1:26" ht="15" customHeight="1" x14ac:dyDescent="0.2">
      <c r="A10" s="24"/>
      <c r="B10" s="111" t="s">
        <v>107</v>
      </c>
      <c r="C10" s="111"/>
      <c r="D10" s="121"/>
      <c r="E10" s="150">
        <v>46022</v>
      </c>
      <c r="F10" s="2"/>
      <c r="G10" s="122" t="s">
        <v>23</v>
      </c>
      <c r="H10" s="122"/>
      <c r="I10" s="166">
        <v>47306062</v>
      </c>
      <c r="J10" s="166">
        <v>55413222</v>
      </c>
      <c r="K10" s="166">
        <v>67693015</v>
      </c>
      <c r="L10" s="169">
        <v>0</v>
      </c>
      <c r="M10" s="170">
        <v>0</v>
      </c>
      <c r="N10" s="171">
        <f>K10+M10-L10</f>
        <v>67693015</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209637377</v>
      </c>
      <c r="T11" s="168">
        <v>225574850</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47306062</v>
      </c>
      <c r="J12" s="171">
        <f t="shared" si="0"/>
        <v>55413222</v>
      </c>
      <c r="K12" s="171">
        <f t="shared" si="0"/>
        <v>67693015</v>
      </c>
      <c r="L12" s="177">
        <f t="shared" si="0"/>
        <v>0</v>
      </c>
      <c r="M12" s="178">
        <f t="shared" si="0"/>
        <v>0</v>
      </c>
      <c r="N12" s="171">
        <f t="shared" si="0"/>
        <v>67693015</v>
      </c>
      <c r="O12" s="2"/>
      <c r="P12" s="124" t="s">
        <v>115</v>
      </c>
      <c r="Q12" s="120"/>
      <c r="R12" s="120"/>
      <c r="S12" s="171">
        <f>SUM(S8:S11)</f>
        <v>974685362</v>
      </c>
      <c r="T12" s="171">
        <f>SUM(T8:T11)</f>
        <v>1296443627</v>
      </c>
      <c r="U12" s="110"/>
      <c r="V12" s="2"/>
      <c r="W12" s="2"/>
      <c r="X12" s="2"/>
      <c r="Y12" s="2"/>
      <c r="Z12" s="2"/>
    </row>
    <row r="13" spans="1:26" ht="12.75" customHeight="1" x14ac:dyDescent="0.2">
      <c r="A13" s="24"/>
      <c r="B13" s="111" t="s">
        <v>116</v>
      </c>
      <c r="C13" s="111"/>
      <c r="D13" s="179"/>
      <c r="E13" s="180">
        <v>1</v>
      </c>
      <c r="F13" s="2"/>
      <c r="G13" s="111" t="s">
        <v>117</v>
      </c>
      <c r="H13" s="125"/>
      <c r="I13" s="168">
        <v>-14912941</v>
      </c>
      <c r="J13" s="168">
        <v>-17007250</v>
      </c>
      <c r="K13" s="168">
        <v>-19681153</v>
      </c>
      <c r="L13" s="172">
        <v>0</v>
      </c>
      <c r="M13" s="173">
        <v>0</v>
      </c>
      <c r="N13" s="181">
        <f>K13+M13-L13</f>
        <v>-19681153</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29825882</v>
      </c>
      <c r="J14" s="183">
        <v>34014500</v>
      </c>
      <c r="K14" s="183">
        <v>39362306</v>
      </c>
      <c r="L14" s="184">
        <v>0</v>
      </c>
      <c r="M14" s="185">
        <v>0</v>
      </c>
      <c r="N14" s="186">
        <f>K14+M14-L14</f>
        <v>39362306</v>
      </c>
      <c r="O14" s="2"/>
      <c r="P14" s="111" t="s">
        <v>120</v>
      </c>
      <c r="Q14" s="123"/>
      <c r="R14" s="123"/>
      <c r="S14" s="168">
        <v>5430416</v>
      </c>
      <c r="T14" s="168">
        <v>5616547</v>
      </c>
      <c r="U14" s="110"/>
      <c r="V14" s="2"/>
      <c r="W14" s="2"/>
      <c r="X14" s="2"/>
      <c r="Y14" s="2"/>
      <c r="Z14" s="2"/>
    </row>
    <row r="15" spans="1:26" ht="12.75" customHeight="1" x14ac:dyDescent="0.2">
      <c r="A15" s="24"/>
      <c r="B15" s="2"/>
      <c r="C15" s="2"/>
      <c r="D15" s="2"/>
      <c r="E15" s="2"/>
      <c r="F15" s="2"/>
      <c r="G15" s="122" t="s">
        <v>121</v>
      </c>
      <c r="H15" s="125"/>
      <c r="I15" s="171">
        <f t="shared" ref="I15:N15" si="1">I12-SUM(I13:I14)</f>
        <v>32393121</v>
      </c>
      <c r="J15" s="171">
        <f t="shared" si="1"/>
        <v>38405972</v>
      </c>
      <c r="K15" s="171">
        <f t="shared" si="1"/>
        <v>48011862</v>
      </c>
      <c r="L15" s="177">
        <f t="shared" si="1"/>
        <v>0</v>
      </c>
      <c r="M15" s="178">
        <f t="shared" si="1"/>
        <v>0</v>
      </c>
      <c r="N15" s="171">
        <f t="shared" si="1"/>
        <v>48011862</v>
      </c>
      <c r="O15" s="2"/>
      <c r="P15" s="111" t="s">
        <v>122</v>
      </c>
      <c r="Q15" s="120"/>
      <c r="R15" s="120"/>
      <c r="S15" s="168">
        <v>1689243</v>
      </c>
      <c r="T15" s="168">
        <v>1811014</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113821622</v>
      </c>
      <c r="T16" s="168">
        <v>238432527</v>
      </c>
      <c r="U16" s="110"/>
      <c r="V16" s="2"/>
      <c r="W16" s="2"/>
      <c r="X16" s="2"/>
      <c r="Y16" s="2"/>
      <c r="Z16" s="2"/>
    </row>
    <row r="17" spans="1:26" ht="15" customHeight="1" x14ac:dyDescent="0.2">
      <c r="A17" s="24"/>
      <c r="B17" s="111" t="s">
        <v>126</v>
      </c>
      <c r="C17" s="111"/>
      <c r="D17" s="126">
        <v>0</v>
      </c>
      <c r="E17" s="187">
        <v>24700</v>
      </c>
      <c r="F17" s="2"/>
      <c r="G17" s="122" t="s">
        <v>127</v>
      </c>
      <c r="H17" s="111"/>
      <c r="I17" s="171">
        <f t="shared" ref="I17:N17" si="2">I15-SUM(I16)</f>
        <v>32393121</v>
      </c>
      <c r="J17" s="171">
        <f t="shared" si="2"/>
        <v>38405972</v>
      </c>
      <c r="K17" s="171">
        <f t="shared" si="2"/>
        <v>48011862</v>
      </c>
      <c r="L17" s="177">
        <f t="shared" si="2"/>
        <v>0</v>
      </c>
      <c r="M17" s="178">
        <f t="shared" si="2"/>
        <v>0</v>
      </c>
      <c r="N17" s="171">
        <f t="shared" si="2"/>
        <v>48011862</v>
      </c>
      <c r="O17" s="2"/>
      <c r="P17" s="124" t="s">
        <v>128</v>
      </c>
      <c r="Q17" s="120"/>
      <c r="R17" s="120"/>
      <c r="S17" s="188">
        <f>SUM(S12:S16)</f>
        <v>1095626643</v>
      </c>
      <c r="T17" s="188">
        <f>SUM(T12:T16)</f>
        <v>1542303715</v>
      </c>
      <c r="U17" s="110"/>
      <c r="V17" s="2"/>
      <c r="W17" s="2"/>
      <c r="X17" s="2"/>
      <c r="Y17" s="2"/>
      <c r="Z17" s="2"/>
    </row>
    <row r="18" spans="1:26" ht="12.75" customHeight="1" x14ac:dyDescent="0.2">
      <c r="A18" s="127"/>
      <c r="B18" s="128" t="s">
        <v>129</v>
      </c>
      <c r="C18" s="128"/>
      <c r="D18" s="129"/>
      <c r="E18" s="189">
        <f>+IF(ISERROR(E17/E19),"NA",E17/E19)</f>
        <v>0.83728813559322035</v>
      </c>
      <c r="F18" s="2"/>
      <c r="G18" s="111" t="s">
        <v>130</v>
      </c>
      <c r="H18" s="111"/>
      <c r="I18" s="168">
        <v>5252297</v>
      </c>
      <c r="J18" s="168">
        <v>5878064</v>
      </c>
      <c r="K18" s="168">
        <v>6885380</v>
      </c>
      <c r="L18" s="172">
        <v>0</v>
      </c>
      <c r="M18" s="173">
        <v>0</v>
      </c>
      <c r="N18" s="181">
        <f>K18+M18-L18</f>
        <v>6885380</v>
      </c>
      <c r="O18" s="2"/>
      <c r="P18" s="111"/>
      <c r="Q18" s="111"/>
      <c r="R18" s="111"/>
      <c r="S18" s="111"/>
      <c r="T18" s="111"/>
      <c r="U18" s="110"/>
      <c r="V18" s="2"/>
      <c r="W18" s="2"/>
      <c r="X18" s="2"/>
      <c r="Y18" s="2"/>
      <c r="Z18" s="2"/>
    </row>
    <row r="19" spans="1:26" ht="15" customHeight="1" x14ac:dyDescent="0.2">
      <c r="A19" s="24"/>
      <c r="B19" s="111" t="s">
        <v>131</v>
      </c>
      <c r="C19" s="111"/>
      <c r="D19" s="190">
        <v>0</v>
      </c>
      <c r="E19" s="191">
        <v>29500</v>
      </c>
      <c r="F19" s="2"/>
      <c r="G19" s="111" t="s">
        <v>132</v>
      </c>
      <c r="H19" s="111"/>
      <c r="I19" s="183">
        <v>377004</v>
      </c>
      <c r="J19" s="183">
        <v>317507</v>
      </c>
      <c r="K19" s="183">
        <v>604039</v>
      </c>
      <c r="L19" s="184">
        <v>0</v>
      </c>
      <c r="M19" s="185">
        <v>0</v>
      </c>
      <c r="N19" s="192">
        <f>K19+M19-L19</f>
        <v>604039</v>
      </c>
      <c r="O19" s="2"/>
      <c r="P19" s="111" t="s">
        <v>133</v>
      </c>
      <c r="Q19" s="123"/>
      <c r="R19" s="123"/>
      <c r="S19" s="168">
        <v>714154479</v>
      </c>
      <c r="T19" s="168">
        <v>921368132</v>
      </c>
      <c r="U19" s="110"/>
      <c r="V19" s="2"/>
      <c r="W19" s="2"/>
      <c r="X19" s="2"/>
      <c r="Y19" s="2"/>
      <c r="Z19" s="2"/>
    </row>
    <row r="20" spans="1:26" ht="15" customHeight="1" x14ac:dyDescent="0.2">
      <c r="A20" s="24"/>
      <c r="B20" s="111" t="s">
        <v>134</v>
      </c>
      <c r="C20" s="111"/>
      <c r="D20" s="190">
        <v>0</v>
      </c>
      <c r="E20" s="191">
        <v>18127</v>
      </c>
      <c r="F20" s="2"/>
      <c r="G20" s="111" t="s">
        <v>135</v>
      </c>
      <c r="H20" s="111"/>
      <c r="I20" s="183">
        <v>0</v>
      </c>
      <c r="J20" s="183">
        <v>0</v>
      </c>
      <c r="K20" s="183">
        <v>0</v>
      </c>
      <c r="L20" s="184">
        <v>0</v>
      </c>
      <c r="M20" s="185">
        <v>0</v>
      </c>
      <c r="N20" s="186">
        <f>K20+M20-L20</f>
        <v>0</v>
      </c>
      <c r="O20" s="2"/>
      <c r="P20" s="111" t="s">
        <v>136</v>
      </c>
      <c r="Q20" s="176"/>
      <c r="R20" s="176"/>
      <c r="S20" s="168">
        <v>47312101</v>
      </c>
      <c r="T20" s="168">
        <v>65033537</v>
      </c>
      <c r="U20" s="110"/>
      <c r="V20" s="2"/>
      <c r="W20" s="2"/>
      <c r="X20" s="2"/>
      <c r="Y20" s="2"/>
      <c r="Z20" s="2"/>
    </row>
    <row r="21" spans="1:26" ht="15" customHeight="1" x14ac:dyDescent="0.2">
      <c r="A21" s="24"/>
      <c r="B21" s="111" t="s">
        <v>137</v>
      </c>
      <c r="C21" s="111"/>
      <c r="D21" s="111"/>
      <c r="E21" s="191">
        <v>500</v>
      </c>
      <c r="F21" s="2"/>
      <c r="G21" s="122" t="s">
        <v>138</v>
      </c>
      <c r="H21" s="111"/>
      <c r="I21" s="188">
        <f t="shared" ref="I21:N21" si="3">I17-SUM(I18:I20)</f>
        <v>26763820</v>
      </c>
      <c r="J21" s="188">
        <f t="shared" si="3"/>
        <v>32210401</v>
      </c>
      <c r="K21" s="188">
        <f t="shared" si="3"/>
        <v>40522443</v>
      </c>
      <c r="L21" s="193">
        <f t="shared" si="3"/>
        <v>0</v>
      </c>
      <c r="M21" s="194">
        <f t="shared" si="3"/>
        <v>0</v>
      </c>
      <c r="N21" s="188">
        <f t="shared" si="3"/>
        <v>40522443</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0.16214235732333418</v>
      </c>
      <c r="J22" s="189">
        <f t="shared" si="4"/>
        <v>0.15305078074836903</v>
      </c>
      <c r="K22" s="189">
        <f t="shared" si="4"/>
        <v>0.14340997647622997</v>
      </c>
      <c r="L22" s="195" t="str">
        <f t="shared" si="4"/>
        <v>NA</v>
      </c>
      <c r="M22" s="196" t="str">
        <f t="shared" si="4"/>
        <v>NA</v>
      </c>
      <c r="N22" s="189">
        <f t="shared" si="4"/>
        <v>0.14340997647622997</v>
      </c>
      <c r="O22" s="2"/>
      <c r="P22" s="124" t="s">
        <v>141</v>
      </c>
      <c r="Q22" s="123"/>
      <c r="R22" s="123"/>
      <c r="S22" s="171">
        <f>SUM(S19:S21)</f>
        <v>761466580</v>
      </c>
      <c r="T22" s="171">
        <f>SUM(T19:T21)</f>
        <v>986401669</v>
      </c>
      <c r="U22" s="110"/>
      <c r="V22" s="2"/>
      <c r="W22" s="2"/>
      <c r="X22" s="2"/>
      <c r="Y22" s="2"/>
      <c r="Z22" s="2"/>
    </row>
    <row r="23" spans="1:26" ht="15" customHeight="1" x14ac:dyDescent="0.2">
      <c r="A23" s="24"/>
      <c r="B23" s="111" t="s">
        <v>142</v>
      </c>
      <c r="C23" s="111"/>
      <c r="D23" s="111"/>
      <c r="E23" s="197">
        <f>+T40</f>
        <v>8054.9999090000001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198958497.75229999</v>
      </c>
      <c r="F24" s="2"/>
      <c r="G24" s="111" t="s">
        <v>144</v>
      </c>
      <c r="H24" s="111"/>
      <c r="I24" s="168">
        <v>8054.9999090000001</v>
      </c>
      <c r="J24" s="168">
        <v>8054.9999090000001</v>
      </c>
      <c r="K24" s="168">
        <v>8054.9999090000001</v>
      </c>
      <c r="L24" s="172">
        <v>0</v>
      </c>
      <c r="M24" s="173">
        <v>0</v>
      </c>
      <c r="N24" s="181">
        <f>+IF(ISERROR(K24+M24-L24),"NA",K24+M24-L24)</f>
        <v>8054.9999090000001</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3322.6344261154231</v>
      </c>
      <c r="J25" s="199">
        <f>+IF(ISERROR(J21/J24),"NA",J21/J24)</f>
        <v>3998.8083629908829</v>
      </c>
      <c r="K25" s="199">
        <f>+IF(ISERROR(K21/K24),"NA",K21/K24)</f>
        <v>5030.7192374668466</v>
      </c>
      <c r="L25" s="200" t="str">
        <f>+IF(ISERROR(L21/L24),"NA",L21/L24)</f>
        <v>NA</v>
      </c>
      <c r="M25" s="201" t="str">
        <f>+IF(ISERROR(M21/M24),"NA",M21/M24)</f>
        <v>NA</v>
      </c>
      <c r="N25" s="199" t="str">
        <f>+IF(ISERROR(K25+M25-L25),"NA",K25+M25-L25)</f>
        <v>NA</v>
      </c>
      <c r="O25" s="2"/>
      <c r="P25" s="133" t="s">
        <v>147</v>
      </c>
      <c r="Q25" s="134"/>
      <c r="R25" s="134"/>
      <c r="S25" s="168">
        <v>250274901</v>
      </c>
      <c r="T25" s="168">
        <v>487339733</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1011741481</v>
      </c>
      <c r="T26" s="171">
        <f>T22+SUM(T24:T25)</f>
        <v>1473741402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604039</v>
      </c>
      <c r="F28" s="2"/>
      <c r="G28" s="265" t="s">
        <v>152</v>
      </c>
      <c r="H28" s="263"/>
      <c r="I28" s="263"/>
      <c r="J28" s="263"/>
      <c r="K28" s="263"/>
      <c r="L28" s="263"/>
      <c r="M28" s="263"/>
      <c r="N28" s="263"/>
      <c r="O28" s="2"/>
      <c r="P28" s="111" t="s">
        <v>132</v>
      </c>
      <c r="Q28" s="136"/>
      <c r="R28" s="136"/>
      <c r="S28" s="168">
        <v>317507</v>
      </c>
      <c r="T28" s="168">
        <v>604039</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47306062</v>
      </c>
      <c r="J29" s="204">
        <f t="shared" si="5"/>
        <v>55413222</v>
      </c>
      <c r="K29" s="204">
        <f t="shared" si="5"/>
        <v>67693015</v>
      </c>
      <c r="L29" s="205">
        <f t="shared" si="5"/>
        <v>0</v>
      </c>
      <c r="M29" s="206">
        <f t="shared" si="5"/>
        <v>0</v>
      </c>
      <c r="N29" s="204">
        <f t="shared" si="5"/>
        <v>67693015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199562536.75229999</v>
      </c>
      <c r="F30" s="207"/>
      <c r="G30" s="111" t="s">
        <v>157</v>
      </c>
      <c r="H30" s="111"/>
      <c r="I30" s="209">
        <v>0</v>
      </c>
      <c r="J30" s="209">
        <v>0</v>
      </c>
      <c r="K30" s="209">
        <v>0</v>
      </c>
      <c r="L30" s="172">
        <v>0</v>
      </c>
      <c r="M30" s="173">
        <v>0</v>
      </c>
      <c r="N30" s="174">
        <f>K30+M30-L30</f>
        <v>0</v>
      </c>
      <c r="O30" s="2"/>
      <c r="P30" s="133" t="s">
        <v>158</v>
      </c>
      <c r="Q30" s="210"/>
      <c r="R30" s="210"/>
      <c r="S30" s="168">
        <v>117059581</v>
      </c>
      <c r="T30" s="168">
        <v>142022525</v>
      </c>
      <c r="U30" s="2"/>
      <c r="V30" s="2"/>
      <c r="W30" s="2"/>
      <c r="X30" s="2"/>
      <c r="Y30" s="2"/>
      <c r="Z30" s="2"/>
    </row>
    <row r="31" spans="1:26" ht="15" customHeight="1" x14ac:dyDescent="0.2">
      <c r="A31" s="24"/>
      <c r="B31" s="2"/>
      <c r="C31" s="2"/>
      <c r="D31" s="2"/>
      <c r="E31" s="2"/>
      <c r="F31" s="207"/>
      <c r="G31" s="122" t="s">
        <v>159</v>
      </c>
      <c r="H31" s="111"/>
      <c r="I31" s="171">
        <f t="shared" ref="I31:N31" si="6">SUM(I29:I30)</f>
        <v>47306062</v>
      </c>
      <c r="J31" s="171">
        <f t="shared" si="6"/>
        <v>55413222</v>
      </c>
      <c r="K31" s="171">
        <f t="shared" si="6"/>
        <v>67693015</v>
      </c>
      <c r="L31" s="177">
        <f t="shared" si="6"/>
        <v>0</v>
      </c>
      <c r="M31" s="178">
        <f t="shared" si="6"/>
        <v>0</v>
      </c>
      <c r="N31" s="171">
        <f t="shared" si="6"/>
        <v>67693015</v>
      </c>
      <c r="O31" s="2"/>
      <c r="P31" s="124" t="s">
        <v>160</v>
      </c>
      <c r="Q31" s="210"/>
      <c r="R31" s="210"/>
      <c r="S31" s="188">
        <f>S26+SUM(S28:S30)</f>
        <v>1129118569</v>
      </c>
      <c r="T31" s="188">
        <f>T26+SUM(T28:T30)</f>
        <v>1616367966</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-33491926</v>
      </c>
      <c r="T32" s="211">
        <f>T17-T31</f>
        <v>-74064251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32393121</v>
      </c>
      <c r="J34" s="204">
        <f t="shared" si="8"/>
        <v>38405972</v>
      </c>
      <c r="K34" s="204">
        <f t="shared" si="8"/>
        <v>48011862</v>
      </c>
      <c r="L34" s="213">
        <f t="shared" si="8"/>
        <v>0</v>
      </c>
      <c r="M34" s="214">
        <f t="shared" si="8"/>
        <v>0</v>
      </c>
      <c r="N34" s="204">
        <f t="shared" si="8"/>
        <v>48011862</v>
      </c>
      <c r="O34" s="2"/>
      <c r="P34" s="265" t="s">
        <v>167</v>
      </c>
      <c r="Q34" s="263"/>
      <c r="R34" s="263"/>
      <c r="S34" s="263"/>
      <c r="T34" s="263"/>
      <c r="U34" s="110"/>
      <c r="V34" s="2"/>
      <c r="W34" s="2"/>
      <c r="X34" s="2"/>
      <c r="Y34" s="2"/>
      <c r="Z34" s="2"/>
    </row>
    <row r="35" spans="1:26" ht="12.75" customHeight="1" x14ac:dyDescent="0.2">
      <c r="A35" s="24"/>
      <c r="B35" s="111" t="s">
        <v>168</v>
      </c>
      <c r="C35" s="215">
        <f>IF(ISERROR(E30/N10),"NA",E30/N10)</f>
        <v>2.9480521255006886</v>
      </c>
      <c r="D35" s="215">
        <f>IF(ISERROR($E$30/D36),"NA",$E$30/D36)</f>
        <v>2.6321893977684714</v>
      </c>
      <c r="E35" s="215">
        <f>IF(ISERROR($E$30/E36),"NA",$E$30/E36)</f>
        <v>2.3963851035765398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8054.9999090000001</v>
      </c>
      <c r="U35" s="110"/>
      <c r="V35" s="2"/>
      <c r="W35" s="2"/>
      <c r="X35" s="2"/>
      <c r="Y35" s="2"/>
      <c r="Z35" s="2"/>
    </row>
    <row r="36" spans="1:26" ht="15" customHeight="1" x14ac:dyDescent="0.2">
      <c r="A36" s="24"/>
      <c r="B36" s="111" t="s">
        <v>170</v>
      </c>
      <c r="C36" s="204">
        <f>N10</f>
        <v>67693015</v>
      </c>
      <c r="D36" s="166">
        <v>75816176.800000012</v>
      </c>
      <c r="E36" s="166">
        <v>83276488.597120017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4.1565256676006443</v>
      </c>
      <c r="D37" s="215">
        <f>IF(ISERROR($E$30/D38),"NA",$E$30/D38)</f>
        <v>3.7111836317862883</v>
      </c>
      <c r="E37" s="215">
        <f>IF(ISERROR($E$30/E38),"NA",$E$30/E38)</f>
        <v>3.3787178002424332</v>
      </c>
      <c r="F37" s="2"/>
      <c r="G37" s="122" t="s">
        <v>174</v>
      </c>
      <c r="H37" s="111"/>
      <c r="I37" s="171">
        <f t="shared" ref="I37:N37" si="10">SUM(I34:I36)</f>
        <v>32393121</v>
      </c>
      <c r="J37" s="171">
        <f t="shared" si="10"/>
        <v>38405972</v>
      </c>
      <c r="K37" s="171">
        <f t="shared" si="10"/>
        <v>48011862</v>
      </c>
      <c r="L37" s="177">
        <f t="shared" si="10"/>
        <v>0</v>
      </c>
      <c r="M37" s="178">
        <f t="shared" si="10"/>
        <v>0</v>
      </c>
      <c r="N37" s="171">
        <f t="shared" si="10"/>
        <v>48011862</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48011862</v>
      </c>
      <c r="D38" s="166">
        <v>53773285.440000013</v>
      </c>
      <c r="E38" s="166">
        <v>59064576.72729601</v>
      </c>
      <c r="F38" s="2"/>
      <c r="G38" s="128" t="s">
        <v>162</v>
      </c>
      <c r="H38" s="128"/>
      <c r="I38" s="189">
        <f t="shared" ref="I38:N38" si="11">IF(ISERROR(I37/I10),"NA",I37/I10)</f>
        <v>0.68475623694908272</v>
      </c>
      <c r="J38" s="189">
        <f t="shared" si="11"/>
        <v>0.69308317787404605</v>
      </c>
      <c r="K38" s="189">
        <f t="shared" si="11"/>
        <v>0.70925873223404212</v>
      </c>
      <c r="L38" s="195" t="str">
        <f t="shared" si="11"/>
        <v>NA</v>
      </c>
      <c r="M38" s="196" t="str">
        <f t="shared" si="11"/>
        <v>NA</v>
      </c>
      <c r="N38" s="189">
        <f t="shared" si="11"/>
        <v>0.70925873223404212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4.1565256676006443</v>
      </c>
      <c r="D39" s="215">
        <f>IF(ISERROR($E$30/D40),"NA",$E$30/D40)</f>
        <v>3.7111836317862883</v>
      </c>
      <c r="E39" s="215">
        <f>IF(ISERROR($E$30/E40),"NA",$E$30/E40)</f>
        <v>3.3787178002424332</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48011862</v>
      </c>
      <c r="D40" s="166">
        <v>53773285.440000013</v>
      </c>
      <c r="E40" s="166">
        <v>59064576.72729601</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8054.9999090000001</v>
      </c>
      <c r="U40" s="110"/>
      <c r="V40" s="2"/>
      <c r="W40" s="2"/>
      <c r="X40" s="2"/>
      <c r="Y40" s="2"/>
      <c r="Z40" s="2"/>
    </row>
    <row r="41" spans="1:26" ht="12.75" customHeight="1" x14ac:dyDescent="0.2">
      <c r="A41" s="24"/>
      <c r="B41" s="111" t="s">
        <v>181</v>
      </c>
      <c r="C41" s="215">
        <f>IF(ISERROR($E$17/N52),"NA",E17/N52)</f>
        <v>4.9098347242366414</v>
      </c>
      <c r="D41" s="215">
        <f>IF(ISERROR($E$17/D42),"NA",$E$17/D42)</f>
        <v>6.6326530612244898</v>
      </c>
      <c r="E41" s="215">
        <f>IF(ISERROR($E$17/E42),"NA",$E$17/E42)</f>
        <v>6.0384678270434158</v>
      </c>
      <c r="F41" s="2"/>
      <c r="G41" s="122" t="s">
        <v>182</v>
      </c>
      <c r="H41" s="111"/>
      <c r="I41" s="171">
        <f t="shared" ref="I41:N41" si="13">I40+I37</f>
        <v>32393121</v>
      </c>
      <c r="J41" s="171">
        <f t="shared" si="13"/>
        <v>38405972</v>
      </c>
      <c r="K41" s="171">
        <f t="shared" si="13"/>
        <v>48011862</v>
      </c>
      <c r="L41" s="177">
        <f t="shared" si="13"/>
        <v>0</v>
      </c>
      <c r="M41" s="178">
        <f t="shared" si="13"/>
        <v>0</v>
      </c>
      <c r="N41" s="171">
        <f t="shared" si="13"/>
        <v>48011862</v>
      </c>
      <c r="O41" s="2"/>
      <c r="P41" s="111"/>
      <c r="Q41" s="111"/>
      <c r="R41" s="111"/>
      <c r="S41" s="111"/>
      <c r="T41" s="111"/>
      <c r="U41" s="110"/>
      <c r="V41" s="2"/>
      <c r="W41" s="2"/>
      <c r="X41" s="2"/>
      <c r="Y41" s="2"/>
      <c r="Z41" s="2"/>
    </row>
    <row r="42" spans="1:26" ht="15" customHeight="1" x14ac:dyDescent="0.2">
      <c r="A42" s="24"/>
      <c r="B42" s="111" t="s">
        <v>170</v>
      </c>
      <c r="C42" s="199">
        <f>N52</f>
        <v>5030.7192374668466</v>
      </c>
      <c r="D42" s="187">
        <v>3724</v>
      </c>
      <c r="E42" s="187">
        <v>4090.441600000001</v>
      </c>
      <c r="F42" s="2"/>
      <c r="G42" s="128" t="s">
        <v>162</v>
      </c>
      <c r="H42" s="128"/>
      <c r="I42" s="189">
        <f t="shared" ref="I42:N42" si="14">IF(ISERROR(I41/I10),"NA",I41/I10)</f>
        <v>0.68475623694908272</v>
      </c>
      <c r="J42" s="189">
        <f t="shared" si="14"/>
        <v>0.69308317787404605</v>
      </c>
      <c r="K42" s="189">
        <f t="shared" si="14"/>
        <v>0.70925873223404212</v>
      </c>
      <c r="L42" s="195" t="str">
        <f t="shared" si="14"/>
        <v>NA</v>
      </c>
      <c r="M42" s="196" t="str">
        <f t="shared" si="14"/>
        <v>NA</v>
      </c>
      <c r="N42" s="189">
        <f t="shared" si="14"/>
        <v>0.70925873223404212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26763820</v>
      </c>
      <c r="J44" s="204">
        <f t="shared" si="15"/>
        <v>32210401</v>
      </c>
      <c r="K44" s="204">
        <f t="shared" si="15"/>
        <v>40522443</v>
      </c>
      <c r="L44" s="213">
        <f t="shared" si="15"/>
        <v>0</v>
      </c>
      <c r="M44" s="214">
        <f t="shared" si="15"/>
        <v>0</v>
      </c>
      <c r="N44" s="204">
        <f t="shared" si="15"/>
        <v>40522443</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0.37063047495839024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0.31281545163910318</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3.0722905839502834E-2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8.0971659919028341E-2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26763820</v>
      </c>
      <c r="J49" s="188">
        <f t="shared" si="19"/>
        <v>32210401</v>
      </c>
      <c r="K49" s="188">
        <f t="shared" si="19"/>
        <v>40522443</v>
      </c>
      <c r="L49" s="193">
        <f t="shared" si="19"/>
        <v>0</v>
      </c>
      <c r="M49" s="194">
        <f t="shared" si="19"/>
        <v>0</v>
      </c>
      <c r="N49" s="188">
        <f t="shared" si="19"/>
        <v>40522443</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0.56575878161238613</v>
      </c>
      <c r="J50" s="189">
        <f t="shared" si="20"/>
        <v>0.58127645059152133</v>
      </c>
      <c r="K50" s="189">
        <f t="shared" si="20"/>
        <v>0.59862074395711284</v>
      </c>
      <c r="L50" s="195" t="str">
        <f t="shared" si="20"/>
        <v>NA</v>
      </c>
      <c r="M50" s="196" t="str">
        <f t="shared" si="20"/>
        <v>NA</v>
      </c>
      <c r="N50" s="189">
        <f t="shared" si="20"/>
        <v>0.59862074395711284</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3322.6344261154231</v>
      </c>
      <c r="J52" s="199">
        <f t="shared" si="21"/>
        <v>3998.8083629908829</v>
      </c>
      <c r="K52" s="199">
        <f t="shared" si="21"/>
        <v>5030.7192374668466</v>
      </c>
      <c r="L52" s="200">
        <f t="shared" si="21"/>
        <v>0</v>
      </c>
      <c r="M52" s="201">
        <f t="shared" si="21"/>
        <v>0</v>
      </c>
      <c r="N52" s="199">
        <f t="shared" si="21"/>
        <v>5030.7192374668466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1655386</v>
      </c>
      <c r="J58" s="168">
        <v>2301696</v>
      </c>
      <c r="K58" s="168">
        <v>1780261</v>
      </c>
      <c r="L58" s="172">
        <v>0</v>
      </c>
      <c r="M58" s="173">
        <v>0</v>
      </c>
      <c r="N58" s="181">
        <f>K58+M58-L58</f>
        <v>1780261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3.4993105111983322E-2</v>
      </c>
      <c r="J59" s="241">
        <f t="shared" si="23"/>
        <v>4.1536945821342063E-2</v>
      </c>
      <c r="K59" s="241">
        <f t="shared" si="23"/>
        <v>2.6299035432237727E-2</v>
      </c>
      <c r="L59" s="244" t="str">
        <f t="shared" si="23"/>
        <v>NA</v>
      </c>
      <c r="M59" s="245" t="str">
        <f t="shared" si="23"/>
        <v>NA</v>
      </c>
      <c r="N59" s="241">
        <f t="shared" si="23"/>
        <v>2.6299035432237727E-2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0.22160402439692106</v>
      </c>
      <c r="D61" s="189">
        <f>IF(ISERROR(K41/J41-1),0,K41/J41-1)</f>
        <v>0.25011448740315689</v>
      </c>
      <c r="E61" s="189">
        <f>IF(ISERROR(K52/J52-1),0,K52/J52-1)</f>
        <v>0.25805459547057485</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0.19622680690347516</v>
      </c>
      <c r="D62" s="189">
        <f>IF(ISERROR((K41/I41)^(1/2)-1),0,(K41/I41)^(1/2)-1)</f>
        <v>0.21744087232279452</v>
      </c>
      <c r="E62" s="189">
        <f>IF(ISERROR((K52/I52)^(1/2)-1),0,(K52/I52)^(1/2)-1)</f>
        <v>0.2304777353089138</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0.12000000000000011</v>
      </c>
      <c r="D64" s="189">
        <f>IF(ISERROR(D38/K41-1),0,D38/K41-1)</f>
        <v>0.12000000000000033</v>
      </c>
      <c r="E64" s="189">
        <f>IF(ISERROR(D42/K52-1),0,D42/K52-1)</f>
        <v>-0.25974799542278337</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0.10914742031886826</v>
      </c>
      <c r="D65" s="189">
        <f>IF(ISERROR((E38/K41)^(1/2)-1),0,(E38/K41)^(1/2)-1)</f>
        <v>0.10914742031886826</v>
      </c>
      <c r="E65" s="189">
        <f>IF(ISERROR((E42/K52)^(1/2)-1),0,(E42/K52)^(1/2)-1)</f>
        <v>-9.8283413800314468E-2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9.8399999999999987E-2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2.5703125" defaultRowHeight="15" customHeight="1" x14ac:dyDescent="0.2"/>
  <cols>
    <col min="1" max="1" width="22.7109375" style="151" customWidth="1"/>
    <col min="2" max="2" width="8.7109375" style="151" customWidth="1"/>
    <col min="3" max="3" width="53" style="151" customWidth="1"/>
    <col min="4" max="6" width="10.7109375" style="151" customWidth="1"/>
    <col min="7" max="26" width="8" style="151" customWidth="1"/>
  </cols>
  <sheetData>
    <row r="1" spans="1:26" ht="12.75" customHeight="1" x14ac:dyDescent="0.2">
      <c r="A1" s="1" t="s">
        <v>14</v>
      </c>
      <c r="B1" s="2"/>
      <c r="C1" s="2"/>
      <c r="D1" s="2"/>
      <c r="E1" s="2"/>
      <c r="F1" s="2"/>
      <c r="G1" s="2"/>
      <c r="H1" s="2"/>
      <c r="I1" s="2"/>
      <c r="J1" s="2"/>
      <c r="K1" s="2"/>
      <c r="L1" s="2"/>
      <c r="M1" s="2"/>
      <c r="N1" s="2"/>
      <c r="O1" s="2"/>
      <c r="P1" s="2"/>
      <c r="Q1" s="2"/>
      <c r="R1" s="2"/>
      <c r="S1" s="2"/>
      <c r="T1" s="2"/>
      <c r="U1" s="2"/>
      <c r="V1" s="2"/>
      <c r="W1" s="2"/>
      <c r="X1" s="2"/>
      <c r="Y1" s="2"/>
      <c r="Z1" s="2"/>
    </row>
    <row r="2" spans="1:26" ht="20.25" customHeight="1" x14ac:dyDescent="0.25">
      <c r="A2" s="262" t="s">
        <v>15</v>
      </c>
      <c r="B2" s="263"/>
      <c r="C2" s="263"/>
      <c r="D2" s="263"/>
      <c r="E2" s="263"/>
      <c r="F2" s="263"/>
      <c r="G2" s="2"/>
      <c r="H2" s="2"/>
      <c r="I2" s="2"/>
      <c r="J2" s="2"/>
      <c r="K2" s="2"/>
      <c r="L2" s="2"/>
      <c r="M2" s="2"/>
      <c r="N2" s="2"/>
      <c r="O2" s="2"/>
      <c r="P2" s="2"/>
      <c r="Q2" s="2"/>
      <c r="R2" s="2"/>
      <c r="S2" s="2"/>
      <c r="T2" s="2"/>
      <c r="U2" s="2"/>
      <c r="V2" s="2"/>
      <c r="W2" s="2"/>
      <c r="X2" s="2"/>
      <c r="Y2" s="2"/>
      <c r="Z2" s="2"/>
    </row>
    <row r="3" spans="1:26" ht="12.75" customHeight="1" x14ac:dyDescent="0.2">
      <c r="A3" s="3" t="s">
        <v>16</v>
      </c>
      <c r="B3" s="4"/>
      <c r="C3" s="4"/>
      <c r="D3" s="5" t="s">
        <v>17</v>
      </c>
      <c r="E3" s="5" t="s">
        <v>18</v>
      </c>
      <c r="F3" s="5" t="s">
        <v>19</v>
      </c>
      <c r="G3" s="2"/>
      <c r="H3" s="2"/>
      <c r="I3" s="2"/>
      <c r="J3" s="2"/>
      <c r="K3" s="2"/>
      <c r="L3" s="2"/>
      <c r="M3" s="2"/>
      <c r="N3" s="2"/>
      <c r="O3" s="2"/>
      <c r="P3" s="2"/>
      <c r="Q3" s="2"/>
      <c r="R3" s="2"/>
      <c r="S3" s="2"/>
      <c r="T3" s="2"/>
      <c r="U3" s="2"/>
      <c r="V3" s="2"/>
      <c r="W3" s="2"/>
      <c r="X3" s="2"/>
      <c r="Y3" s="2"/>
      <c r="Z3" s="2"/>
    </row>
    <row r="4" spans="1:26" ht="15" customHeight="1" x14ac:dyDescent="0.2">
      <c r="A4" s="6" t="s">
        <v>5</v>
      </c>
      <c r="B4" s="7" t="s">
        <v>20</v>
      </c>
      <c r="C4" s="7" t="s">
        <v>21</v>
      </c>
      <c r="D4" s="7" t="s">
        <v>22</v>
      </c>
      <c r="E4" s="7" t="s">
        <v>22</v>
      </c>
      <c r="F4" s="7" t="s">
        <v>23</v>
      </c>
      <c r="G4" s="2"/>
      <c r="H4" s="2"/>
      <c r="I4" s="2"/>
      <c r="J4" s="2"/>
      <c r="K4" s="2"/>
      <c r="L4" s="2"/>
      <c r="M4" s="2"/>
      <c r="N4" s="2"/>
      <c r="O4" s="2"/>
      <c r="P4" s="2"/>
      <c r="Q4" s="2"/>
      <c r="R4" s="2"/>
      <c r="S4" s="2"/>
      <c r="T4" s="2"/>
      <c r="U4" s="2"/>
      <c r="V4" s="2"/>
      <c r="W4" s="2"/>
      <c r="X4" s="2"/>
      <c r="Y4" s="2"/>
      <c r="Z4" s="2"/>
    </row>
    <row r="5" spans="1:26" ht="39.75" customHeight="1" x14ac:dyDescent="0.2">
      <c r="A5" s="8" t="str">
        <f>TargetCo!$E$7</f>
        <v>Ngân hàng Thương mại Cổ phần Đầu tư và Phát triển Việt Nam</v>
      </c>
      <c r="B5" s="8" t="str">
        <f>TargetCo!$E$8</f>
        <v>BID</v>
      </c>
      <c r="C5" s="9" t="str">
        <f>TargetCo!$P$2</f>
        <v>Ngân hàng Thương mại Cổ phần Đầu tư và Phát triển Việt Nam (BIDV), có tiền thân là Ngân hàng Kiến thiết Việt Nam trực thuộc Bộ Tài chính được thành lập vào năm 1957. Ngân hàng hoạt động trong lĩnh vực huy động và kinh doanh vốn, và cung cấp các dịch vụ tài chính liên quan. BIDV chính thức hoạt động theo hình thức ngân hàng thương mại cổ phần từ năm 2012. BIDV được niêm yết trên Sở Giao dịch Chứng khoán Thành phố Hồ Chí Minh (HOSE) từ năm 2014. Kết thúc năm 2025, BIDV tiếp tục giữ vững vị thế là ngân hàng thương mại cổ phần có quy mô lớn nhất Việt Nam với tổng tài sản riêng khối ngân hàng thương mại đạt 3.3 triệu tỷ đồng. Năm 2025, so với cùng kỳ, biên lãi thuần (NIM) ở mức 2.11%, giảm 0.21%. Tỷ lệ nợ xấu ở mức 1.47%, tăng 0.06%. Tỷ lệ bao phủ nợ xấu ở mức 99.91%, giảm 31.1%. Lợi nhuận sau thuế công ty mẹ có giá trị bằng 29,9 nghìn tỷ đồng, tăng 18.95%. Tỷ suất lợi nhuận trên vốn chủ sở h</v>
      </c>
      <c r="D5" s="10">
        <f>TargetCo!$E$24</f>
        <v>303214715.99650002</v>
      </c>
      <c r="E5" s="10">
        <f>TargetCo!$E$30</f>
        <v>303740581.99650002</v>
      </c>
      <c r="F5" s="10">
        <f>TargetCo!$N$10</f>
        <v>91213932</v>
      </c>
      <c r="G5" s="2"/>
      <c r="H5" s="2"/>
      <c r="I5" s="2"/>
      <c r="J5" s="2"/>
      <c r="K5" s="2"/>
      <c r="L5" s="2"/>
      <c r="M5" s="2"/>
      <c r="N5" s="2"/>
      <c r="O5" s="2"/>
      <c r="P5" s="2"/>
      <c r="Q5" s="2"/>
      <c r="R5" s="2"/>
      <c r="S5" s="2"/>
      <c r="T5" s="2"/>
      <c r="U5" s="2"/>
      <c r="V5" s="2"/>
      <c r="W5" s="2"/>
      <c r="X5" s="2"/>
      <c r="Y5" s="2"/>
      <c r="Z5" s="2"/>
    </row>
    <row r="6" spans="1:26" ht="39.75" customHeight="1" x14ac:dyDescent="0.2">
      <c r="A6" s="11" t="str">
        <f>'CompCo 1'!$E$7</f>
        <v>Ngân hàng Thương mại Cổ phần Ngoại thương Việt Nam</v>
      </c>
      <c r="B6" s="11" t="str">
        <f>'CompCo 1'!$E$8</f>
        <v>VCB</v>
      </c>
      <c r="C6" s="12" t="str">
        <f>'CompCo 1'!$P$2</f>
        <v>Ngân hàng Thương mại Cổ phần Ngoại thương Việt Nam (Vietcombank) chính thức đi vào hoạt động ngày 01/04/1963. Là ngân hàng thương mại nhà nước đầu tiên được Chính phủ lựa chọn thực hiện thí điểm cổ phần hoá, Ngân hàng Ngoại thương Việt Nam chính thức hoạt động với tư cách là một Ngân hàng Thương mại Cổ phần từ ngày 02/06/2008 sau khi thực hiện thành công kế hoạch cổ phần hóa thông qua việc phát hành cổ phiếu lần đầu ra công chúng. Năm 2025, so với cùng kỳ, biên lãi thuần (NIM) ở mức 2.63%, giảm 0.23%. Tỷ lệ nợ xấu ở mức 0.58%, giảm 0.39%. Tỷ lệ bao phủ nợ xấu ở mức 258.29%, tăng 34.98%. Lợi nhuận sau thuế công ty mẹ có giá trị bằng 35,2 nghìn tỷ đồng, tăng 3.98%. Tỷ suất lợi nhuận trên vốn chủ sở hữu (ROE) ở mức 16.73%, giảm 2.01%. VCB chính thức niêm yết và giao dịch trên Sở Giao dịch Chứng khoán Thành phố Hồ Chí Minh từ năm 2009.</v>
      </c>
      <c r="D6" s="13">
        <f>'CompCo 1'!$E$24</f>
        <v>515545153.29980004</v>
      </c>
      <c r="E6" s="13">
        <f>'CompCo 1'!$E$30</f>
        <v>515565430.29980004</v>
      </c>
      <c r="F6" s="13">
        <f>'CompCo 1'!$N$10</f>
        <v>72454622</v>
      </c>
      <c r="G6" s="2"/>
      <c r="H6" s="2"/>
      <c r="I6" s="2"/>
      <c r="J6" s="2"/>
      <c r="K6" s="2"/>
      <c r="L6" s="2"/>
      <c r="M6" s="2"/>
      <c r="N6" s="2"/>
      <c r="O6" s="2"/>
      <c r="P6" s="2"/>
      <c r="Q6" s="2"/>
      <c r="R6" s="2"/>
      <c r="S6" s="2"/>
      <c r="T6" s="2"/>
      <c r="U6" s="2"/>
      <c r="V6" s="2"/>
      <c r="W6" s="2"/>
      <c r="X6" s="2"/>
      <c r="Y6" s="2"/>
      <c r="Z6" s="2"/>
    </row>
    <row r="7" spans="1:26" ht="39.75" customHeight="1" x14ac:dyDescent="0.2">
      <c r="A7" s="14" t="str">
        <f>'CompCo 2'!$E$7</f>
        <v>Ngân hàng Thương mại Cổ phần Công thương Việt Nam</v>
      </c>
      <c r="B7" s="14" t="str">
        <f>'CompCo 2'!$E$8</f>
        <v>CTG</v>
      </c>
      <c r="C7" s="15" t="str">
        <f>'CompCo 2'!$P$2</f>
        <v>Ngân hàng Thương mại Cổ phần Công thương Việt Nam (VietinBank) được thành lập từ năm 1988 sau khi tách ra từ Ngân hàng Nhà nước Việt Nam. Ngân hàng hoạt động trong lĩnh vực huy động và kinh doanh vốn, và cung cấp các dịch vụ tài chính liên quan. VietinBank chính thức hoạt động theo mô hình ngân hàng cổ phần từ năm 2009. VietinBank được niêm yết và giao dịch trên Sở Giao dịch Chứng khoán Thành phố Hồ Chí Minh (HOSE) từ năm 2009. Năm 2025, so với cùng kỳ, biên lãi thuần (NIM) ở mức 2.62%, giảm 0.26%. Tỷ lệ nợ xấu ở mức 1.1%, giảm 0.12%. Tỷ lệ bao phủ nợ xấu ở mức 158.83%, giảm 15.84%. Lợi nhuận sau thuế công ty mẹ có giá trị bằng 34,6 nghìn tỷ đồng, tăng 36.52%. Tỷ suất lợi nhuận trên vốn chủ sở hữu (ROE) ở mức 21.23%, tăng 2.63%.</v>
      </c>
      <c r="D7" s="13">
        <f>'CompCo 2'!$E$24</f>
        <v>260192645.33949998</v>
      </c>
      <c r="E7" s="13">
        <f>'CompCo 2'!$E$30</f>
        <v>260459430.33949998</v>
      </c>
      <c r="F7" s="13">
        <f>'CompCo 2'!$N$10</f>
        <v>87294789</v>
      </c>
      <c r="G7" s="2"/>
      <c r="H7" s="2"/>
      <c r="I7" s="2"/>
      <c r="J7" s="2"/>
      <c r="K7" s="2"/>
      <c r="L7" s="2"/>
      <c r="M7" s="2"/>
      <c r="N7" s="2"/>
      <c r="O7" s="2"/>
      <c r="P7" s="2"/>
      <c r="Q7" s="2"/>
      <c r="R7" s="2"/>
      <c r="S7" s="2"/>
      <c r="T7" s="2"/>
      <c r="U7" s="2"/>
      <c r="V7" s="2"/>
      <c r="W7" s="2"/>
      <c r="X7" s="2"/>
      <c r="Y7" s="2"/>
      <c r="Z7" s="2"/>
    </row>
    <row r="8" spans="1:26" ht="39.75" customHeight="1" x14ac:dyDescent="0.2">
      <c r="A8" s="14" t="str">
        <f>'CompCo 3'!$E$7</f>
        <v>Ngân hàng Thương mại Cổ phần Quân đội</v>
      </c>
      <c r="B8" s="14" t="str">
        <f>'CompCo 3'!$E$8</f>
        <v>MBB</v>
      </c>
      <c r="C8" s="15" t="str">
        <f>'CompCo 3'!$P$2</f>
        <v>Ngân hàng Thương mại Cổ phần Quân đội (MBB) được thành lập từ năm 1994 với mục tiêu ban đầu là đáp ứng nhu cầu dịch vụ tài chính cho các Doanh nghiệp Quân đội. Ngân hàng hoạt động trong lĩnh vực huy động vốn, cấp tín dụng và các dịch vụ tài chính liên quan. Bên cạnh thị trường truyền thống ban đầu, Ngân hàng đã phát triển và đa dạng hóa nhiều sản phẩm dịch vụ tài chính để đáp ứng cho các đối tượng khách hàng khác nhau. Năm 2025, so với cùng kỳ, biên lãi thuần (NIM) ở mức 3.87%, giảm 0.21%. Tỷ lệ nợ xấu ở mức 1.29%, giảm 0.33%. Tỷ lệ bao phủ nợ xấu ở mức 93.75%, tăng 1.5%. Lợi nhuận sau thuế công ty mẹ có giá trị bằng 26,8 nghìn tỷ đồng, tăng 18.31%. Tỷ suất lợi nhuận trên vốn chủ sở hữu (ROE) ở mức 21.57%, giảm 0.52%.</v>
      </c>
      <c r="D8" s="13">
        <f>'CompCo 3'!$E$24</f>
        <v>198958497.75229999</v>
      </c>
      <c r="E8" s="13">
        <f>'CompCo 3'!$E$30</f>
        <v>199562536.75229999</v>
      </c>
      <c r="F8" s="13">
        <f>'CompCo 3'!$N$10</f>
        <v>67693015</v>
      </c>
      <c r="G8" s="2"/>
      <c r="H8" s="2"/>
      <c r="I8" s="2"/>
      <c r="J8" s="2"/>
      <c r="K8" s="2"/>
      <c r="L8" s="2"/>
      <c r="M8" s="2"/>
      <c r="N8" s="2"/>
      <c r="O8" s="2"/>
      <c r="P8" s="2"/>
      <c r="Q8" s="2"/>
      <c r="R8" s="2"/>
      <c r="S8" s="2"/>
      <c r="T8" s="2"/>
      <c r="U8" s="2"/>
      <c r="V8" s="2"/>
      <c r="W8" s="2"/>
      <c r="X8" s="2"/>
      <c r="Y8" s="2"/>
      <c r="Z8" s="2"/>
    </row>
    <row r="9" spans="1:26" ht="39.75" customHeight="1" x14ac:dyDescent="0.2">
      <c r="A9" s="14" t="str">
        <f>'CompCo 4'!$E$7</f>
        <v>Ngân hàng Thương mại Cổ phần Kỹ thương Việt Nam</v>
      </c>
      <c r="B9" s="14" t="str">
        <f>'CompCo 4'!$E$8</f>
        <v>TCB</v>
      </c>
      <c r="C9" s="15" t="str">
        <f>'CompCo 4'!$P$2</f>
        <v>Ngân hàng Thương mại Cổ phần Kỹ thương Việt Nam (TCB) được thành lập vào năm 1993. Ngân hàng hoạt động trong lĩnh vực huy động và kinh doanh vốn, và cung cấp các dịch vụ tài chính liên quan. Techcombank trở thành công ty đại chúng từ năm 2007. Năm 2025, so với cùng kỳ, biên lãi thuần (NIM) ở mức 3.74%, giảm 0.47%. Tỷ lệ nợ xấu ở mức 1.07%, giảm 0.06%. Tỷ lệ bao phủ nợ xấu ở mức 128.05%, tăng 14.11%. Lợi nhuận sau thuế công ty mẹ có giá trị bằng 25,3 nghìn tỷ đồng, tăng 17.5%. Tỷ suất lợi nhuận trên vốn chủ sở hữu (ROE) ở mức 16.03%, tăng 0.42%. Ngày 04/06/2018, TCB chính thức giao dịch trên Sở giao dịch Chứng khoán Thành phố Hồ Chí Minh (HOSE).</v>
      </c>
      <c r="D9" s="13">
        <f>'CompCo 4'!$E$24</f>
        <v>219319140.81329998</v>
      </c>
      <c r="E9" s="13">
        <f>'CompCo 4'!$E$30</f>
        <v>219983382.81329998</v>
      </c>
      <c r="F9" s="13">
        <f>'CompCo 4'!$N$10</f>
        <v>53391125</v>
      </c>
      <c r="G9" s="2"/>
      <c r="H9" s="2"/>
      <c r="I9" s="2"/>
      <c r="J9" s="2"/>
      <c r="K9" s="2"/>
      <c r="L9" s="2"/>
      <c r="M9" s="2"/>
      <c r="N9" s="2"/>
      <c r="O9" s="2"/>
      <c r="P9" s="2"/>
      <c r="Q9" s="2"/>
      <c r="R9" s="2"/>
      <c r="S9" s="2"/>
      <c r="T9" s="2"/>
      <c r="U9" s="2"/>
      <c r="V9" s="2"/>
      <c r="W9" s="2"/>
      <c r="X9" s="2"/>
      <c r="Y9" s="2"/>
      <c r="Z9" s="2"/>
    </row>
    <row r="10" spans="1:26" ht="39.75" customHeight="1" x14ac:dyDescent="0.2">
      <c r="A10" s="14" t="str">
        <f>'CompCo 5'!$E$7</f>
        <v>Ngân hàng Thương mại Cổ phần Á Châu</v>
      </c>
      <c r="B10" s="14" t="str">
        <f>'CompCo 5'!$E$8</f>
        <v>ACB</v>
      </c>
      <c r="C10" s="15" t="str">
        <f>'CompCo 5'!$P$2</f>
        <v>Ngân hàng Thương mại Cổ phần Á Châu (ACB) được thành lập năm 1993. Ngân hàng hoạt động trong lĩnh vực huy động, kinh doanh vốn và cung cấp các dịch vụ tài chính liên quan. Năm 2025, so với cùng kỳ, biên lãi thuần (NIM) ở mức 2.92%, giảm 0.68%. Tỷ lệ nợ xấu ở mức 0.97%, giảm 0.52%. Tỷ lệ bao phủ nợ xấu ở mức 114.29%, tăng 36.37%. Lợi nhuận sau thuế công ty mẹ có giá trị bằng 15,6 nghìn tỷ đồng, giảm 6.94%. Tỷ suất lợi nhuận trên vốn chủ sở hữu (ROE) ở mức 17.56%, giảm 4.19%. Ngày 09/12/2020, ACB chính thức giao dịch trên Sở Giao dịch Chứng khoán Thành phố Hồ Chí Minh (HOSE).</v>
      </c>
      <c r="D10" s="13">
        <f>'CompCo 5'!$E$24</f>
        <v>136121399.87349999</v>
      </c>
      <c r="E10" s="13">
        <f>'CompCo 5'!$E$30</f>
        <v>136121399.87349999</v>
      </c>
      <c r="F10" s="13">
        <f>'CompCo 5'!$N$10</f>
        <v>33797883</v>
      </c>
      <c r="G10" s="2"/>
      <c r="H10" s="2"/>
      <c r="I10" s="2"/>
      <c r="J10" s="2"/>
      <c r="K10" s="2"/>
      <c r="L10" s="2"/>
      <c r="M10" s="2"/>
      <c r="N10" s="2"/>
      <c r="O10" s="2"/>
      <c r="P10" s="2"/>
      <c r="Q10" s="2"/>
      <c r="R10" s="2"/>
      <c r="S10" s="2"/>
      <c r="T10" s="2"/>
      <c r="U10" s="2"/>
      <c r="V10" s="2"/>
      <c r="W10" s="2"/>
      <c r="X10" s="2"/>
      <c r="Y10" s="2"/>
      <c r="Z10" s="2"/>
    </row>
    <row r="11" spans="1:26" ht="39.75" customHeight="1" x14ac:dyDescent="0.2">
      <c r="A11" s="14" t="str">
        <f>'CompCo 6'!$E$7</f>
        <v>Ngân hàng Thương mại Cổ phần Ngoại thương Việt Nam</v>
      </c>
      <c r="B11" s="14" t="str">
        <f>'CompCo 6'!$E$8</f>
        <v>VCB</v>
      </c>
      <c r="C11" s="15" t="str">
        <f>'CompCo 6'!$P$2</f>
        <v>Ngân hàng Thương mại Cổ phần Ngoại thương Việt Nam (Vietcombank) chính thức đi vào hoạt động ngày 01/04/1963. Là ngân hàng thương mại nhà nước đầu tiên được Chính phủ lựa chọn thực hiện thí điểm cổ phần hoá, Ngân hàng Ngoại thương Việt Nam chính thức hoạt động với tư cách là một Ngân hàng Thương mại Cổ phần từ ngày 02/06/2008 sau khi thực hiện thành công kế hoạch cổ phần hóa thông qua việc phát hành cổ phiếu lần đầu ra công chúng. Năm 2025, so với cùng kỳ, biên lãi thuần (NIM) ở mức 2.63%, giảm 0.23%. Tỷ lệ nợ xấu ở mức 0.58%, giảm 0.39%. Tỷ lệ bao phủ nợ xấu ở mức 258.29%, tăng 34.98%. Lợi nhuận sau thuế công ty mẹ có giá trị bằng 35,2 nghìn tỷ đồng, tăng 3.98%. Tỷ suất lợi nhuận trên vốn chủ sở hữu (ROE) ở mức 16.73%, giảm 2.01%. VCB chính thức niêm yết và giao dịch trên Sở Giao dịch Chứng khoán Thành phố Hồ Chí Minh từ năm 2009.</v>
      </c>
      <c r="D11" s="13">
        <f>'CompCo 6'!$E$24</f>
        <v>515545153.29980004</v>
      </c>
      <c r="E11" s="13">
        <f>'CompCo 6'!$E$30</f>
        <v>515565430.29980004</v>
      </c>
      <c r="F11" s="13">
        <f>'CompCo 6'!$N$10</f>
        <v>72454622</v>
      </c>
      <c r="G11" s="2"/>
      <c r="H11" s="2"/>
      <c r="I11" s="2"/>
      <c r="J11" s="2"/>
      <c r="K11" s="2"/>
      <c r="L11" s="2"/>
      <c r="M11" s="2"/>
      <c r="N11" s="2"/>
      <c r="O11" s="2"/>
      <c r="P11" s="2"/>
      <c r="Q11" s="2"/>
      <c r="R11" s="2"/>
      <c r="S11" s="2"/>
      <c r="T11" s="2"/>
      <c r="U11" s="2"/>
      <c r="V11" s="2"/>
      <c r="W11" s="2"/>
      <c r="X11" s="2"/>
      <c r="Y11" s="2"/>
      <c r="Z11" s="2"/>
    </row>
    <row r="12" spans="1:26" ht="39.75" customHeight="1" x14ac:dyDescent="0.2">
      <c r="A12" s="14" t="str">
        <f>'CompCo 7'!$E$7</f>
        <v>Ngân hàng Thương mại Cổ phần Công thương Việt Nam</v>
      </c>
      <c r="B12" s="14" t="str">
        <f>'CompCo 7'!$E$8</f>
        <v>CTG</v>
      </c>
      <c r="C12" s="15" t="str">
        <f>'CompCo 7'!$P$2</f>
        <v>Ngân hàng Thương mại Cổ phần Công thương Việt Nam (VietinBank) được thành lập từ năm 1988 sau khi tách ra từ Ngân hàng Nhà nước Việt Nam. Ngân hàng hoạt động trong lĩnh vực huy động và kinh doanh vốn, và cung cấp các dịch vụ tài chính liên quan. VietinBank chính thức hoạt động theo mô hình ngân hàng cổ phần từ năm 2009. VietinBank được niêm yết và giao dịch trên Sở Giao dịch Chứng khoán Thành phố Hồ Chí Minh (HOSE) từ năm 2009. Năm 2025, so với cùng kỳ, biên lãi thuần (NIM) ở mức 2.62%, giảm 0.26%. Tỷ lệ nợ xấu ở mức 1.1%, giảm 0.12%. Tỷ lệ bao phủ nợ xấu ở mức 158.83%, giảm 15.84%. Lợi nhuận sau thuế công ty mẹ có giá trị bằng 34,6 nghìn tỷ đồng, tăng 36.52%. Tỷ suất lợi nhuận trên vốn chủ sở hữu (ROE) ở mức 21.23%, tăng 2.63%.</v>
      </c>
      <c r="D12" s="13">
        <f>'CompCo 7'!$E$24</f>
        <v>260192645.33949998</v>
      </c>
      <c r="E12" s="13">
        <f>'CompCo 7'!$E$30</f>
        <v>260459430.33949998</v>
      </c>
      <c r="F12" s="13">
        <f>'CompCo 7'!$N$10</f>
        <v>87294789</v>
      </c>
      <c r="G12" s="2"/>
      <c r="H12" s="2"/>
      <c r="I12" s="2"/>
      <c r="J12" s="2"/>
      <c r="K12" s="2"/>
      <c r="L12" s="2"/>
      <c r="M12" s="2"/>
      <c r="N12" s="2"/>
      <c r="O12" s="2"/>
      <c r="P12" s="2"/>
      <c r="Q12" s="2"/>
      <c r="R12" s="2"/>
      <c r="S12" s="2"/>
      <c r="T12" s="2"/>
      <c r="U12" s="2"/>
      <c r="V12" s="2"/>
      <c r="W12" s="2"/>
      <c r="X12" s="2"/>
      <c r="Y12" s="2"/>
      <c r="Z12" s="2"/>
    </row>
    <row r="13" spans="1:26" ht="39.75" customHeight="1" x14ac:dyDescent="0.2">
      <c r="A13" s="14" t="str">
        <f>'CompCo 8'!$E$7</f>
        <v>Ngân hàng Thương mại Cổ phần Quân đội</v>
      </c>
      <c r="B13" s="14" t="str">
        <f>'CompCo 8'!$E$8</f>
        <v>MBB</v>
      </c>
      <c r="C13" s="15" t="str">
        <f>'CompCo 8'!$P$2</f>
        <v>Ngân hàng Thương mại Cổ phần Quân đội (MBB) được thành lập từ năm 1994 với mục tiêu ban đầu là đáp ứng nhu cầu dịch vụ tài chính cho các Doanh nghiệp Quân đội. Ngân hàng hoạt động trong lĩnh vực huy động vốn, cấp tín dụng và các dịch vụ tài chính liên quan. Bên cạnh thị trường truyền thống ban đầu, Ngân hàng đã phát triển và đa dạng hóa nhiều sản phẩm dịch vụ tài chính để đáp ứng cho các đối tượng khách hàng khác nhau. Năm 2025, so với cùng kỳ, biên lãi thuần (NIM) ở mức 3.87%, giảm 0.21%. Tỷ lệ nợ xấu ở mức 1.29%, giảm 0.33%. Tỷ lệ bao phủ nợ xấu ở mức 93.75%, tăng 1.5%. Lợi nhuận sau thuế công ty mẹ có giá trị bằng 26,8 nghìn tỷ đồng, tăng 18.31%. Tỷ suất lợi nhuận trên vốn chủ sở hữu (ROE) ở mức 21.57%, giảm 0.52%.</v>
      </c>
      <c r="D13" s="13">
        <f>'CompCo 8'!$E$24</f>
        <v>198958497.75229999</v>
      </c>
      <c r="E13" s="13">
        <f>'CompCo 8'!$E$30</f>
        <v>199562536.75229999</v>
      </c>
      <c r="F13" s="13">
        <f>'CompCo 8'!$N$10</f>
        <v>67693015</v>
      </c>
      <c r="G13" s="2"/>
      <c r="H13" s="2"/>
      <c r="I13" s="2"/>
      <c r="J13" s="2"/>
      <c r="K13" s="2"/>
      <c r="L13" s="2"/>
      <c r="M13" s="2"/>
      <c r="N13" s="2"/>
      <c r="O13" s="2"/>
      <c r="P13" s="2"/>
      <c r="Q13" s="2"/>
      <c r="R13" s="2"/>
      <c r="S13" s="2"/>
      <c r="T13" s="2"/>
      <c r="U13" s="2"/>
      <c r="V13" s="2"/>
      <c r="W13" s="2"/>
      <c r="X13" s="2"/>
      <c r="Y13" s="2"/>
      <c r="Z13" s="2"/>
    </row>
    <row r="14" spans="1:26" ht="39.75" customHeight="1" x14ac:dyDescent="0.2">
      <c r="A14" s="14" t="str">
        <f>'CompCo 9'!$E$7</f>
        <v>Ngân hàng Thương mại Cổ phần Kỹ thương Việt Nam</v>
      </c>
      <c r="B14" s="14" t="str">
        <f>'CompCo 9'!$E$8</f>
        <v>TCB</v>
      </c>
      <c r="C14" s="15" t="str">
        <f>'CompCo 9'!$P$2</f>
        <v>Ngân hàng Thương mại Cổ phần Kỹ thương Việt Nam (TCB) được thành lập vào năm 1993. Ngân hàng hoạt động trong lĩnh vực huy động và kinh doanh vốn, và cung cấp các dịch vụ tài chính liên quan. Techcombank trở thành công ty đại chúng từ năm 2007. Năm 2025, so với cùng kỳ, biên lãi thuần (NIM) ở mức 3.74%, giảm 0.47%. Tỷ lệ nợ xấu ở mức 1.07%, giảm 0.06%. Tỷ lệ bao phủ nợ xấu ở mức 128.05%, tăng 14.11%. Lợi nhuận sau thuế công ty mẹ có giá trị bằng 25,3 nghìn tỷ đồng, tăng 17.5%. Tỷ suất lợi nhuận trên vốn chủ sở hữu (ROE) ở mức 16.03%, tăng 0.42%. Ngày 04/06/2018, TCB chính thức giao dịch trên Sở giao dịch Chứng khoán Thành phố Hồ Chí Minh (HOSE).</v>
      </c>
      <c r="D14" s="13">
        <f>'CompCo 9'!$E$24</f>
        <v>219319140.81329998</v>
      </c>
      <c r="E14" s="13">
        <f>'CompCo 9'!$E$30</f>
        <v>219983382.81329998</v>
      </c>
      <c r="F14" s="13">
        <f>'CompCo 9'!$N$10</f>
        <v>53391125</v>
      </c>
      <c r="G14" s="2"/>
      <c r="H14" s="2"/>
      <c r="I14" s="2"/>
      <c r="J14" s="2"/>
      <c r="K14" s="2"/>
      <c r="L14" s="2"/>
      <c r="M14" s="2"/>
      <c r="N14" s="2"/>
      <c r="O14" s="2"/>
      <c r="P14" s="2"/>
      <c r="Q14" s="2"/>
      <c r="R14" s="2"/>
      <c r="S14" s="2"/>
      <c r="T14" s="2"/>
      <c r="U14" s="2"/>
      <c r="V14" s="2"/>
      <c r="W14" s="2"/>
      <c r="X14" s="2"/>
      <c r="Y14" s="2"/>
      <c r="Z14" s="2"/>
    </row>
    <row r="15" spans="1:26" ht="39.75" customHeight="1" x14ac:dyDescent="0.2">
      <c r="A15" s="14" t="str">
        <f>'CompCo 10'!$E$7</f>
        <v>Ngân hàng Thương mại Cổ phần Á Châu</v>
      </c>
      <c r="B15" s="14" t="str">
        <f>'CompCo 10'!$E$8</f>
        <v>ACB</v>
      </c>
      <c r="C15" s="15" t="str">
        <f>'CompCo 10'!$P$2</f>
        <v>Ngân hàng Thương mại Cổ phần Á Châu (ACB) được thành lập năm 1993. Ngân hàng hoạt động trong lĩnh vực huy động, kinh doanh vốn và cung cấp các dịch vụ tài chính liên quan. Năm 2025, so với cùng kỳ, biên lãi thuần (NIM) ở mức 2.92%, giảm 0.68%. Tỷ lệ nợ xấu ở mức 0.97%, giảm 0.52%. Tỷ lệ bao phủ nợ xấu ở mức 114.29%, tăng 36.37%. Lợi nhuận sau thuế công ty mẹ có giá trị bằng 15,6 nghìn tỷ đồng, giảm 6.94%. Tỷ suất lợi nhuận trên vốn chủ sở hữu (ROE) ở mức 17.56%, giảm 4.19%. Ngày 09/12/2020, ACB chính thức giao dịch trên Sở Giao dịch Chứng khoán Thành phố Hồ Chí Minh (HOSE).</v>
      </c>
      <c r="D15" s="13">
        <f>'CompCo 10'!$E$24</f>
        <v>136121399.87349999</v>
      </c>
      <c r="E15" s="13">
        <f>'CompCo 10'!$E$30</f>
        <v>136121399.87349999</v>
      </c>
      <c r="F15" s="13">
        <f>'CompCo 10'!$N$10</f>
        <v>33797883</v>
      </c>
      <c r="G15" s="2"/>
      <c r="H15" s="2"/>
      <c r="I15" s="2"/>
      <c r="J15" s="2"/>
      <c r="K15" s="2"/>
      <c r="L15" s="2"/>
      <c r="M15" s="2"/>
      <c r="N15" s="2"/>
      <c r="O15" s="2"/>
      <c r="P15" s="2"/>
      <c r="Q15" s="2"/>
      <c r="R15" s="2"/>
      <c r="S15" s="2"/>
      <c r="T15" s="2"/>
      <c r="U15" s="2"/>
      <c r="V15" s="2"/>
      <c r="W15" s="2"/>
      <c r="X15" s="2"/>
      <c r="Y15" s="2"/>
      <c r="Z15" s="2"/>
    </row>
    <row r="16" spans="1:26" ht="39.75" customHeight="1" x14ac:dyDescent="0.2">
      <c r="A16" s="14" t="str">
        <f>'CompCo 11'!$E$7</f>
        <v>Ngân hàng Thương mại Cổ phần Ngoại thương Việt Nam</v>
      </c>
      <c r="B16" s="14" t="str">
        <f>'CompCo 11'!$E$8</f>
        <v>VCB</v>
      </c>
      <c r="C16" s="15" t="str">
        <f>'CompCo 11'!$P$2</f>
        <v>Ngân hàng Thương mại Cổ phần Ngoại thương Việt Nam (Vietcombank) chính thức đi vào hoạt động ngày 01/04/1963. Là ngân hàng thương mại nhà nước đầu tiên được Chính phủ lựa chọn thực hiện thí điểm cổ phần hoá, Ngân hàng Ngoại thương Việt Nam chính thức hoạt động với tư cách là một Ngân hàng Thương mại Cổ phần từ ngày 02/06/2008 sau khi thực hiện thành công kế hoạch cổ phần hóa thông qua việc phát hành cổ phiếu lần đầu ra công chúng. Năm 2025, so với cùng kỳ, biên lãi thuần (NIM) ở mức 2.63%, giảm 0.23%. Tỷ lệ nợ xấu ở mức 0.58%, giảm 0.39%. Tỷ lệ bao phủ nợ xấu ở mức 258.29%, tăng 34.98%. Lợi nhuận sau thuế công ty mẹ có giá trị bằng 35,2 nghìn tỷ đồng, tăng 3.98%. Tỷ suất lợi nhuận trên vốn chủ sở hữu (ROE) ở mức 16.73%, giảm 2.01%. VCB chính thức niêm yết và giao dịch trên Sở Giao dịch Chứng khoán Thành phố Hồ Chí Minh từ năm 2009.</v>
      </c>
      <c r="D16" s="13">
        <f>'CompCo 11'!$E$24</f>
        <v>515545153.29980004</v>
      </c>
      <c r="E16" s="13">
        <f>'CompCo 11'!$E$30</f>
        <v>515565430.29980004</v>
      </c>
      <c r="F16" s="13">
        <f>'CompCo 11'!$N$10</f>
        <v>72454622</v>
      </c>
      <c r="G16" s="2"/>
      <c r="H16" s="2"/>
      <c r="I16" s="2"/>
      <c r="J16" s="2"/>
      <c r="K16" s="2"/>
      <c r="L16" s="2"/>
      <c r="M16" s="2"/>
      <c r="N16" s="2"/>
      <c r="O16" s="2"/>
      <c r="P16" s="2"/>
      <c r="Q16" s="2"/>
      <c r="R16" s="2"/>
      <c r="S16" s="2"/>
      <c r="T16" s="2"/>
      <c r="U16" s="2"/>
      <c r="V16" s="2"/>
      <c r="W16" s="2"/>
      <c r="X16" s="2"/>
      <c r="Y16" s="2"/>
      <c r="Z16" s="2"/>
    </row>
    <row r="17" spans="1:26" ht="39.75" customHeight="1" x14ac:dyDescent="0.2">
      <c r="A17" s="14" t="str">
        <f>'CompCo 12'!$E$7</f>
        <v>Ngân hàng Thương mại Cổ phần Công thương Việt Nam</v>
      </c>
      <c r="B17" s="14" t="str">
        <f>'CompCo 12'!$E$8</f>
        <v>CTG</v>
      </c>
      <c r="C17" s="15" t="str">
        <f>'CompCo 12'!$P$2</f>
        <v>Ngân hàng Thương mại Cổ phần Công thương Việt Nam (VietinBank) được thành lập từ năm 1988 sau khi tách ra từ Ngân hàng Nhà nước Việt Nam. Ngân hàng hoạt động trong lĩnh vực huy động và kinh doanh vốn, và cung cấp các dịch vụ tài chính liên quan. VietinBank chính thức hoạt động theo mô hình ngân hàng cổ phần từ năm 2009. VietinBank được niêm yết và giao dịch trên Sở Giao dịch Chứng khoán Thành phố Hồ Chí Minh (HOSE) từ năm 2009. Năm 2025, so với cùng kỳ, biên lãi thuần (NIM) ở mức 2.62%, giảm 0.26%. Tỷ lệ nợ xấu ở mức 1.1%, giảm 0.12%. Tỷ lệ bao phủ nợ xấu ở mức 158.83%, giảm 15.84%. Lợi nhuận sau thuế công ty mẹ có giá trị bằng 34,6 nghìn tỷ đồng, tăng 36.52%. Tỷ suất lợi nhuận trên vốn chủ sở hữu (ROE) ở mức 21.23%, tăng 2.63%.</v>
      </c>
      <c r="D17" s="13">
        <f>'CompCo 12'!$E$24</f>
        <v>260192645.33949998</v>
      </c>
      <c r="E17" s="13">
        <f>'CompCo 12'!$E$30</f>
        <v>260459430.33949998</v>
      </c>
      <c r="F17" s="13">
        <f>'CompCo 12'!$N$10</f>
        <v>87294789</v>
      </c>
      <c r="G17" s="2"/>
      <c r="H17" s="2"/>
      <c r="I17" s="2"/>
      <c r="J17" s="2"/>
      <c r="K17" s="2"/>
      <c r="L17" s="2"/>
      <c r="M17" s="2"/>
      <c r="N17" s="2"/>
      <c r="O17" s="2"/>
      <c r="P17" s="2"/>
      <c r="Q17" s="2"/>
      <c r="R17" s="2"/>
      <c r="S17" s="2"/>
      <c r="T17" s="2"/>
      <c r="U17" s="2"/>
      <c r="V17" s="2"/>
      <c r="W17" s="2"/>
      <c r="X17" s="2"/>
      <c r="Y17" s="2"/>
      <c r="Z17" s="2"/>
    </row>
    <row r="18" spans="1:26" ht="39.75" customHeight="1" x14ac:dyDescent="0.2">
      <c r="A18" s="14" t="str">
        <f>'CompCo 13'!$E$7</f>
        <v>Ngân hàng Thương mại Cổ phần Quân đội</v>
      </c>
      <c r="B18" s="14" t="str">
        <f>'CompCo 13'!$E$8</f>
        <v>MBB</v>
      </c>
      <c r="C18" s="15" t="str">
        <f>'CompCo 13'!$P$2</f>
        <v>Ngân hàng Thương mại Cổ phần Quân đội (MBB) được thành lập từ năm 1994 với mục tiêu ban đầu là đáp ứng nhu cầu dịch vụ tài chính cho các Doanh nghiệp Quân đội. Ngân hàng hoạt động trong lĩnh vực huy động vốn, cấp tín dụng và các dịch vụ tài chính liên quan. Bên cạnh thị trường truyền thống ban đầu, Ngân hàng đã phát triển và đa dạng hóa nhiều sản phẩm dịch vụ tài chính để đáp ứng cho các đối tượng khách hàng khác nhau. Năm 2025, so với cùng kỳ, biên lãi thuần (NIM) ở mức 3.87%, giảm 0.21%. Tỷ lệ nợ xấu ở mức 1.29%, giảm 0.33%. Tỷ lệ bao phủ nợ xấu ở mức 93.75%, tăng 1.5%. Lợi nhuận sau thuế công ty mẹ có giá trị bằng 26,8 nghìn tỷ đồng, tăng 18.31%. Tỷ suất lợi nhuận trên vốn chủ sở hữu (ROE) ở mức 21.57%, giảm 0.52%.</v>
      </c>
      <c r="D18" s="13">
        <f>'CompCo 13'!$E$24</f>
        <v>198958497.75229999</v>
      </c>
      <c r="E18" s="13">
        <f>'CompCo 13'!$E$30</f>
        <v>199562536.75229999</v>
      </c>
      <c r="F18" s="13">
        <f>'CompCo 13'!$N$10</f>
        <v>67693015</v>
      </c>
      <c r="G18" s="2"/>
      <c r="H18" s="2"/>
      <c r="I18" s="2"/>
      <c r="J18" s="2"/>
      <c r="K18" s="2"/>
      <c r="L18" s="2"/>
      <c r="M18" s="2"/>
      <c r="N18" s="2"/>
      <c r="O18" s="2"/>
      <c r="P18" s="2"/>
      <c r="Q18" s="2"/>
      <c r="R18" s="2"/>
      <c r="S18" s="2"/>
      <c r="T18" s="2"/>
      <c r="U18" s="2"/>
      <c r="V18" s="2"/>
      <c r="W18" s="2"/>
      <c r="X18" s="2"/>
      <c r="Y18" s="2"/>
      <c r="Z18" s="2"/>
    </row>
    <row r="19" spans="1:26" ht="39.75" customHeight="1" x14ac:dyDescent="0.2">
      <c r="A19" s="14" t="str">
        <f>'CompCo 14'!$E$7</f>
        <v>Ngân hàng Thương mại Cổ phần Kỹ thương Việt Nam</v>
      </c>
      <c r="B19" s="14" t="str">
        <f>'CompCo 14'!$E$8</f>
        <v>TCB</v>
      </c>
      <c r="C19" s="15" t="str">
        <f>'CompCo 14'!$P$2</f>
        <v>Ngân hàng Thương mại Cổ phần Kỹ thương Việt Nam (TCB) được thành lập vào năm 1993. Ngân hàng hoạt động trong lĩnh vực huy động và kinh doanh vốn, và cung cấp các dịch vụ tài chính liên quan. Techcombank trở thành công ty đại chúng từ năm 2007. Năm 2025, so với cùng kỳ, biên lãi thuần (NIM) ở mức 3.74%, giảm 0.47%. Tỷ lệ nợ xấu ở mức 1.07%, giảm 0.06%. Tỷ lệ bao phủ nợ xấu ở mức 128.05%, tăng 14.11%. Lợi nhuận sau thuế công ty mẹ có giá trị bằng 25,3 nghìn tỷ đồng, tăng 17.5%. Tỷ suất lợi nhuận trên vốn chủ sở hữu (ROE) ở mức 16.03%, tăng 0.42%. Ngày 04/06/2018, TCB chính thức giao dịch trên Sở giao dịch Chứng khoán Thành phố Hồ Chí Minh (HOSE).</v>
      </c>
      <c r="D19" s="13">
        <f>'CompCo 14'!$E$24</f>
        <v>219319140.81329998</v>
      </c>
      <c r="E19" s="13">
        <f>'CompCo 14'!$E$30</f>
        <v>219983382.81329998</v>
      </c>
      <c r="F19" s="13">
        <f>'CompCo 14'!$N$10</f>
        <v>53391125</v>
      </c>
      <c r="G19" s="2"/>
      <c r="H19" s="2"/>
      <c r="I19" s="2"/>
      <c r="J19" s="2"/>
      <c r="K19" s="2"/>
      <c r="L19" s="2"/>
      <c r="M19" s="2"/>
      <c r="N19" s="2"/>
      <c r="O19" s="2"/>
      <c r="P19" s="2"/>
      <c r="Q19" s="2"/>
      <c r="R19" s="2"/>
      <c r="S19" s="2"/>
      <c r="T19" s="2"/>
      <c r="U19" s="2"/>
      <c r="V19" s="2"/>
      <c r="W19" s="2"/>
      <c r="X19" s="2"/>
      <c r="Y19" s="2"/>
      <c r="Z19" s="2"/>
    </row>
    <row r="20" spans="1:26" ht="39.75" customHeight="1" x14ac:dyDescent="0.2">
      <c r="A20" s="11" t="str">
        <f>'CompCo 15'!$E$7</f>
        <v>Ngân hàng Thương mại Cổ phần Á Châu</v>
      </c>
      <c r="B20" s="11" t="str">
        <f>'CompCo 15'!$E$8</f>
        <v>ACB</v>
      </c>
      <c r="C20" s="12" t="str">
        <f>'CompCo 15'!$P$2</f>
        <v>Ngân hàng Thương mại Cổ phần Á Châu (ACB) được thành lập năm 1993. Ngân hàng hoạt động trong lĩnh vực huy động, kinh doanh vốn và cung cấp các dịch vụ tài chính liên quan. Năm 2025, so với cùng kỳ, biên lãi thuần (NIM) ở mức 2.92%, giảm 0.68%. Tỷ lệ nợ xấu ở mức 0.97%, giảm 0.52%. Tỷ lệ bao phủ nợ xấu ở mức 114.29%, tăng 36.37%. Lợi nhuận sau thuế công ty mẹ có giá trị bằng 15,6 nghìn tỷ đồng, giảm 6.94%. Tỷ suất lợi nhuận trên vốn chủ sở hữu (ROE) ở mức 17.56%, giảm 4.19%. Ngày 09/12/2020, ACB chính thức giao dịch trên Sở Giao dịch Chứng khoán Thành phố Hồ Chí Minh (HOSE).</v>
      </c>
      <c r="D20" s="16">
        <f>'CompCo 15'!$E$24</f>
        <v>136121399.87349999</v>
      </c>
      <c r="E20" s="16">
        <f>'CompCo 15'!$E$30</f>
        <v>136121399.87349999</v>
      </c>
      <c r="F20" s="16">
        <f>'CompCo 15'!$N$10</f>
        <v>33797883</v>
      </c>
      <c r="G20" s="2"/>
      <c r="H20" s="2"/>
      <c r="I20" s="2"/>
      <c r="J20" s="2"/>
      <c r="K20" s="2"/>
      <c r="L20" s="2"/>
      <c r="M20" s="2"/>
      <c r="N20" s="2"/>
      <c r="O20" s="2"/>
      <c r="P20" s="2"/>
      <c r="Q20" s="2"/>
      <c r="R20" s="2"/>
      <c r="S20" s="2"/>
      <c r="T20" s="2"/>
      <c r="U20" s="2"/>
      <c r="V20" s="2"/>
      <c r="W20" s="2"/>
      <c r="X20" s="2"/>
      <c r="Y20" s="2"/>
      <c r="Z20" s="2"/>
    </row>
    <row r="21" spans="1:26" ht="12.75" customHeight="1" x14ac:dyDescent="0.2">
      <c r="A21" s="11"/>
      <c r="B21" s="11"/>
      <c r="C21" s="11"/>
      <c r="D21" s="11"/>
      <c r="E21" s="11"/>
      <c r="F21" s="11"/>
      <c r="G21" s="2"/>
      <c r="H21" s="2"/>
      <c r="I21" s="2"/>
      <c r="J21" s="2"/>
      <c r="K21" s="2"/>
      <c r="L21" s="2"/>
      <c r="M21" s="2"/>
      <c r="N21" s="2"/>
      <c r="O21" s="2"/>
      <c r="P21" s="2"/>
      <c r="Q21" s="2"/>
      <c r="R21" s="2"/>
      <c r="S21" s="2"/>
      <c r="T21" s="2"/>
      <c r="U21" s="2"/>
      <c r="V21" s="2"/>
      <c r="W21" s="2"/>
      <c r="X21" s="2"/>
      <c r="Y21" s="2"/>
      <c r="Z21" s="2"/>
    </row>
    <row r="22" spans="1:26"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2:F2"/>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Kỹ thương Việt Nam (HOSE:TCB)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623634271</v>
      </c>
      <c r="T9" s="168">
        <v>757118751</v>
      </c>
      <c r="U9" s="110"/>
      <c r="V9" s="2"/>
      <c r="W9" s="2"/>
      <c r="X9" s="2"/>
      <c r="Y9" s="2"/>
      <c r="Z9" s="2"/>
    </row>
    <row r="10" spans="1:26" ht="15" customHeight="1" x14ac:dyDescent="0.2">
      <c r="A10" s="24"/>
      <c r="B10" s="111" t="s">
        <v>107</v>
      </c>
      <c r="C10" s="111"/>
      <c r="D10" s="121"/>
      <c r="E10" s="150">
        <v>46022</v>
      </c>
      <c r="F10" s="2"/>
      <c r="G10" s="122" t="s">
        <v>23</v>
      </c>
      <c r="H10" s="122"/>
      <c r="I10" s="166">
        <v>40061092</v>
      </c>
      <c r="J10" s="166">
        <v>46990397</v>
      </c>
      <c r="K10" s="166">
        <v>53391125</v>
      </c>
      <c r="L10" s="169">
        <v>0</v>
      </c>
      <c r="M10" s="170">
        <v>0</v>
      </c>
      <c r="N10" s="171">
        <f>K10+M10-L10</f>
        <v>53391125</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148623636</v>
      </c>
      <c r="T11" s="168">
        <v>145526404</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40061092</v>
      </c>
      <c r="J12" s="171">
        <f t="shared" si="0"/>
        <v>46990397</v>
      </c>
      <c r="K12" s="171">
        <f t="shared" si="0"/>
        <v>53391125</v>
      </c>
      <c r="L12" s="177">
        <f t="shared" si="0"/>
        <v>0</v>
      </c>
      <c r="M12" s="178">
        <f t="shared" si="0"/>
        <v>0</v>
      </c>
      <c r="N12" s="171">
        <f t="shared" si="0"/>
        <v>53391125</v>
      </c>
      <c r="O12" s="2"/>
      <c r="P12" s="124" t="s">
        <v>115</v>
      </c>
      <c r="Q12" s="120"/>
      <c r="R12" s="120"/>
      <c r="S12" s="171">
        <f>SUM(S8:S11)</f>
        <v>772257907</v>
      </c>
      <c r="T12" s="171">
        <f>SUM(T8:T11)</f>
        <v>902645155</v>
      </c>
      <c r="U12" s="110"/>
      <c r="V12" s="2"/>
      <c r="W12" s="2"/>
      <c r="X12" s="2"/>
      <c r="Y12" s="2"/>
      <c r="Z12" s="2"/>
    </row>
    <row r="13" spans="1:26" ht="12.75" customHeight="1" x14ac:dyDescent="0.2">
      <c r="A13" s="24"/>
      <c r="B13" s="111" t="s">
        <v>116</v>
      </c>
      <c r="C13" s="111"/>
      <c r="D13" s="179"/>
      <c r="E13" s="180">
        <v>1</v>
      </c>
      <c r="F13" s="2"/>
      <c r="G13" s="111" t="s">
        <v>117</v>
      </c>
      <c r="H13" s="125"/>
      <c r="I13" s="168">
        <v>-13251796</v>
      </c>
      <c r="J13" s="168">
        <v>-15369735</v>
      </c>
      <c r="K13" s="168">
        <v>-16432434</v>
      </c>
      <c r="L13" s="172">
        <v>0</v>
      </c>
      <c r="M13" s="173">
        <v>0</v>
      </c>
      <c r="N13" s="181">
        <f>K13+M13-L13</f>
        <v>-16432434</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26503592</v>
      </c>
      <c r="J14" s="183">
        <v>30739470</v>
      </c>
      <c r="K14" s="183">
        <v>32864868</v>
      </c>
      <c r="L14" s="184">
        <v>0</v>
      </c>
      <c r="M14" s="185">
        <v>0</v>
      </c>
      <c r="N14" s="186">
        <f>K14+M14-L14</f>
        <v>32864868</v>
      </c>
      <c r="O14" s="2"/>
      <c r="P14" s="111" t="s">
        <v>120</v>
      </c>
      <c r="Q14" s="123"/>
      <c r="R14" s="123"/>
      <c r="S14" s="168">
        <v>12466885</v>
      </c>
      <c r="T14" s="168">
        <v>12122934</v>
      </c>
      <c r="U14" s="110"/>
      <c r="V14" s="2"/>
      <c r="W14" s="2"/>
      <c r="X14" s="2"/>
      <c r="Y14" s="2"/>
      <c r="Z14" s="2"/>
    </row>
    <row r="15" spans="1:26" ht="12.75" customHeight="1" x14ac:dyDescent="0.2">
      <c r="A15" s="24"/>
      <c r="B15" s="2"/>
      <c r="C15" s="2"/>
      <c r="D15" s="2"/>
      <c r="E15" s="2"/>
      <c r="F15" s="2"/>
      <c r="G15" s="122" t="s">
        <v>121</v>
      </c>
      <c r="H15" s="125"/>
      <c r="I15" s="171">
        <f t="shared" ref="I15:N15" si="1">I12-SUM(I13:I14)</f>
        <v>26809296</v>
      </c>
      <c r="J15" s="171">
        <f t="shared" si="1"/>
        <v>31620662</v>
      </c>
      <c r="K15" s="171">
        <f t="shared" si="1"/>
        <v>36958691</v>
      </c>
      <c r="L15" s="177">
        <f t="shared" si="1"/>
        <v>0</v>
      </c>
      <c r="M15" s="178">
        <f t="shared" si="1"/>
        <v>0</v>
      </c>
      <c r="N15" s="171">
        <f t="shared" si="1"/>
        <v>36958691</v>
      </c>
      <c r="O15" s="2"/>
      <c r="P15" s="111" t="s">
        <v>122</v>
      </c>
      <c r="Q15" s="120"/>
      <c r="R15" s="120"/>
      <c r="S15" s="168">
        <v>5890186</v>
      </c>
      <c r="T15" s="168">
        <v>5779202</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130445648</v>
      </c>
      <c r="T16" s="168">
        <v>185273253</v>
      </c>
      <c r="U16" s="110"/>
      <c r="V16" s="2"/>
      <c r="W16" s="2"/>
      <c r="X16" s="2"/>
      <c r="Y16" s="2"/>
      <c r="Z16" s="2"/>
    </row>
    <row r="17" spans="1:26" ht="15" customHeight="1" x14ac:dyDescent="0.2">
      <c r="A17" s="24"/>
      <c r="B17" s="111" t="s">
        <v>126</v>
      </c>
      <c r="C17" s="111"/>
      <c r="D17" s="126">
        <v>0</v>
      </c>
      <c r="E17" s="187">
        <v>30950</v>
      </c>
      <c r="F17" s="2"/>
      <c r="G17" s="122" t="s">
        <v>127</v>
      </c>
      <c r="H17" s="111"/>
      <c r="I17" s="171">
        <f t="shared" ref="I17:N17" si="2">I15-SUM(I16)</f>
        <v>26809296</v>
      </c>
      <c r="J17" s="171">
        <f t="shared" si="2"/>
        <v>31620662</v>
      </c>
      <c r="K17" s="171">
        <f t="shared" si="2"/>
        <v>36958691</v>
      </c>
      <c r="L17" s="177">
        <f t="shared" si="2"/>
        <v>0</v>
      </c>
      <c r="M17" s="178">
        <f t="shared" si="2"/>
        <v>0</v>
      </c>
      <c r="N17" s="171">
        <f t="shared" si="2"/>
        <v>36958691</v>
      </c>
      <c r="O17" s="2"/>
      <c r="P17" s="124" t="s">
        <v>128</v>
      </c>
      <c r="Q17" s="120"/>
      <c r="R17" s="120"/>
      <c r="S17" s="188">
        <f>SUM(S12:S16)</f>
        <v>921060626</v>
      </c>
      <c r="T17" s="188">
        <f>SUM(T12:T16)</f>
        <v>1105820544</v>
      </c>
      <c r="U17" s="110"/>
      <c r="V17" s="2"/>
      <c r="W17" s="2"/>
      <c r="X17" s="2"/>
      <c r="Y17" s="2"/>
      <c r="Z17" s="2"/>
    </row>
    <row r="18" spans="1:26" ht="12.75" customHeight="1" x14ac:dyDescent="0.2">
      <c r="A18" s="127"/>
      <c r="B18" s="128" t="s">
        <v>129</v>
      </c>
      <c r="C18" s="128"/>
      <c r="D18" s="129"/>
      <c r="E18" s="189">
        <f>+IF(ISERROR(E17/E19),"NA",E17/E19)</f>
        <v>0.75240063206515129</v>
      </c>
      <c r="F18" s="2"/>
      <c r="G18" s="111" t="s">
        <v>130</v>
      </c>
      <c r="H18" s="111"/>
      <c r="I18" s="168">
        <v>4697362</v>
      </c>
      <c r="J18" s="168">
        <v>5778264</v>
      </c>
      <c r="K18" s="168">
        <v>6583594</v>
      </c>
      <c r="L18" s="172">
        <v>0</v>
      </c>
      <c r="M18" s="173">
        <v>0</v>
      </c>
      <c r="N18" s="181">
        <f>K18+M18-L18</f>
        <v>6583594</v>
      </c>
      <c r="O18" s="2"/>
      <c r="P18" s="111"/>
      <c r="Q18" s="111"/>
      <c r="R18" s="111"/>
      <c r="S18" s="111"/>
      <c r="T18" s="111"/>
      <c r="U18" s="110"/>
      <c r="V18" s="2"/>
      <c r="W18" s="2"/>
      <c r="X18" s="2"/>
      <c r="Y18" s="2"/>
      <c r="Z18" s="2"/>
    </row>
    <row r="19" spans="1:26" ht="15" customHeight="1" x14ac:dyDescent="0.2">
      <c r="A19" s="24"/>
      <c r="B19" s="111" t="s">
        <v>131</v>
      </c>
      <c r="C19" s="111"/>
      <c r="D19" s="190">
        <v>0</v>
      </c>
      <c r="E19" s="191">
        <v>41135</v>
      </c>
      <c r="F19" s="2"/>
      <c r="G19" s="111" t="s">
        <v>132</v>
      </c>
      <c r="H19" s="111"/>
      <c r="I19" s="183">
        <v>187064</v>
      </c>
      <c r="J19" s="183">
        <v>237176</v>
      </c>
      <c r="K19" s="183">
        <v>664242</v>
      </c>
      <c r="L19" s="184">
        <v>0</v>
      </c>
      <c r="M19" s="185">
        <v>0</v>
      </c>
      <c r="N19" s="192">
        <f>K19+M19-L19</f>
        <v>664242</v>
      </c>
      <c r="O19" s="2"/>
      <c r="P19" s="111" t="s">
        <v>133</v>
      </c>
      <c r="Q19" s="123"/>
      <c r="R19" s="123"/>
      <c r="S19" s="168">
        <v>533392350</v>
      </c>
      <c r="T19" s="168">
        <v>618911535</v>
      </c>
      <c r="U19" s="110"/>
      <c r="V19" s="2"/>
      <c r="W19" s="2"/>
      <c r="X19" s="2"/>
      <c r="Y19" s="2"/>
      <c r="Z19" s="2"/>
    </row>
    <row r="20" spans="1:26" ht="15" customHeight="1" x14ac:dyDescent="0.2">
      <c r="A20" s="24"/>
      <c r="B20" s="111" t="s">
        <v>134</v>
      </c>
      <c r="C20" s="111"/>
      <c r="D20" s="190">
        <v>0</v>
      </c>
      <c r="E20" s="191">
        <v>27766</v>
      </c>
      <c r="F20" s="2"/>
      <c r="G20" s="111" t="s">
        <v>135</v>
      </c>
      <c r="H20" s="111"/>
      <c r="I20" s="183">
        <v>0</v>
      </c>
      <c r="J20" s="183">
        <v>0</v>
      </c>
      <c r="K20" s="183">
        <v>0</v>
      </c>
      <c r="L20" s="184">
        <v>0</v>
      </c>
      <c r="M20" s="185">
        <v>0</v>
      </c>
      <c r="N20" s="186">
        <f>K20+M20-L20</f>
        <v>0</v>
      </c>
      <c r="O20" s="2"/>
      <c r="P20" s="111" t="s">
        <v>136</v>
      </c>
      <c r="Q20" s="176"/>
      <c r="R20" s="176"/>
      <c r="S20" s="168">
        <v>23862407</v>
      </c>
      <c r="T20" s="168">
        <v>26877242</v>
      </c>
      <c r="U20" s="110"/>
      <c r="V20" s="2"/>
      <c r="W20" s="2"/>
      <c r="X20" s="2"/>
      <c r="Y20" s="2"/>
      <c r="Z20" s="2"/>
    </row>
    <row r="21" spans="1:26" ht="15" customHeight="1" x14ac:dyDescent="0.2">
      <c r="A21" s="24"/>
      <c r="B21" s="111" t="s">
        <v>137</v>
      </c>
      <c r="C21" s="111"/>
      <c r="D21" s="111"/>
      <c r="E21" s="191">
        <v>700</v>
      </c>
      <c r="F21" s="2"/>
      <c r="G21" s="122" t="s">
        <v>138</v>
      </c>
      <c r="H21" s="111"/>
      <c r="I21" s="188">
        <f t="shared" ref="I21:N21" si="3">I17-SUM(I18:I20)</f>
        <v>21924870</v>
      </c>
      <c r="J21" s="188">
        <f t="shared" si="3"/>
        <v>25605222</v>
      </c>
      <c r="K21" s="188">
        <f t="shared" si="3"/>
        <v>29710855</v>
      </c>
      <c r="L21" s="193">
        <f t="shared" si="3"/>
        <v>0</v>
      </c>
      <c r="M21" s="194">
        <f t="shared" si="3"/>
        <v>0</v>
      </c>
      <c r="N21" s="188">
        <f t="shared" si="3"/>
        <v>29710855</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0.17521392579648493</v>
      </c>
      <c r="J22" s="189">
        <f t="shared" si="4"/>
        <v>0.18273697116145132</v>
      </c>
      <c r="K22" s="189">
        <f t="shared" si="4"/>
        <v>0.17813385219730862</v>
      </c>
      <c r="L22" s="195" t="str">
        <f t="shared" si="4"/>
        <v>NA</v>
      </c>
      <c r="M22" s="196" t="str">
        <f t="shared" si="4"/>
        <v>NA</v>
      </c>
      <c r="N22" s="189">
        <f t="shared" si="4"/>
        <v>0.17813385219730862</v>
      </c>
      <c r="O22" s="2"/>
      <c r="P22" s="124" t="s">
        <v>141</v>
      </c>
      <c r="Q22" s="123"/>
      <c r="R22" s="123"/>
      <c r="S22" s="171">
        <f>SUM(S19:S21)</f>
        <v>557254757</v>
      </c>
      <c r="T22" s="171">
        <f>SUM(T19:T21)</f>
        <v>645788777</v>
      </c>
      <c r="U22" s="110"/>
      <c r="V22" s="2"/>
      <c r="W22" s="2"/>
      <c r="X22" s="2"/>
      <c r="Y22" s="2"/>
      <c r="Z22" s="2"/>
    </row>
    <row r="23" spans="1:26" ht="15" customHeight="1" x14ac:dyDescent="0.2">
      <c r="A23" s="24"/>
      <c r="B23" s="111" t="s">
        <v>142</v>
      </c>
      <c r="C23" s="111"/>
      <c r="D23" s="111"/>
      <c r="E23" s="197">
        <f>+T40</f>
        <v>7086.2404139999999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219319140.81329998</v>
      </c>
      <c r="F24" s="2"/>
      <c r="G24" s="111" t="s">
        <v>144</v>
      </c>
      <c r="H24" s="111"/>
      <c r="I24" s="168">
        <v>7086.2404139999999</v>
      </c>
      <c r="J24" s="168">
        <v>7086.2404139999999</v>
      </c>
      <c r="K24" s="168">
        <v>7086.2404139999999</v>
      </c>
      <c r="L24" s="172">
        <v>0</v>
      </c>
      <c r="M24" s="173">
        <v>0</v>
      </c>
      <c r="N24" s="181">
        <f>+IF(ISERROR(K24+M24-L24),"NA",K24+M24-L24)</f>
        <v>7086.2404139999999</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3094.005949428969</v>
      </c>
      <c r="J25" s="199">
        <f>+IF(ISERROR(J21/J24),"NA",J21/J24)</f>
        <v>3613.3719016098853</v>
      </c>
      <c r="K25" s="199">
        <f>+IF(ISERROR(K21/K24),"NA",K21/K24)</f>
        <v>4192.7528935232649</v>
      </c>
      <c r="L25" s="200" t="str">
        <f>+IF(ISERROR(L21/L24),"NA",L21/L24)</f>
        <v>NA</v>
      </c>
      <c r="M25" s="201" t="str">
        <f>+IF(ISERROR(M21/M24),"NA",M21/M24)</f>
        <v>NA</v>
      </c>
      <c r="N25" s="199" t="str">
        <f>+IF(ISERROR(K25+M25-L25),"NA",K25+M25-L25)</f>
        <v>NA</v>
      </c>
      <c r="O25" s="2"/>
      <c r="P25" s="133" t="s">
        <v>147</v>
      </c>
      <c r="Q25" s="134"/>
      <c r="R25" s="134"/>
      <c r="S25" s="168">
        <v>273604171</v>
      </c>
      <c r="T25" s="168">
        <v>367053918</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830858928</v>
      </c>
      <c r="T26" s="171">
        <f>T22+SUM(T24:T25)</f>
        <v>1012842695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664242</v>
      </c>
      <c r="F28" s="2"/>
      <c r="G28" s="265" t="s">
        <v>152</v>
      </c>
      <c r="H28" s="263"/>
      <c r="I28" s="263"/>
      <c r="J28" s="263"/>
      <c r="K28" s="263"/>
      <c r="L28" s="263"/>
      <c r="M28" s="263"/>
      <c r="N28" s="263"/>
      <c r="O28" s="2"/>
      <c r="P28" s="111" t="s">
        <v>132</v>
      </c>
      <c r="Q28" s="136"/>
      <c r="R28" s="136"/>
      <c r="S28" s="168">
        <v>237176</v>
      </c>
      <c r="T28" s="168">
        <v>664242</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40061092</v>
      </c>
      <c r="J29" s="204">
        <f t="shared" si="5"/>
        <v>46990397</v>
      </c>
      <c r="K29" s="204">
        <f t="shared" si="5"/>
        <v>53391125</v>
      </c>
      <c r="L29" s="205">
        <f t="shared" si="5"/>
        <v>0</v>
      </c>
      <c r="M29" s="206">
        <f t="shared" si="5"/>
        <v>0</v>
      </c>
      <c r="N29" s="204">
        <f t="shared" si="5"/>
        <v>53391125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219983382.81329998</v>
      </c>
      <c r="F30" s="207"/>
      <c r="G30" s="111" t="s">
        <v>157</v>
      </c>
      <c r="H30" s="111"/>
      <c r="I30" s="209">
        <v>0</v>
      </c>
      <c r="J30" s="209">
        <v>0</v>
      </c>
      <c r="K30" s="209">
        <v>0</v>
      </c>
      <c r="L30" s="172">
        <v>0</v>
      </c>
      <c r="M30" s="173">
        <v>0</v>
      </c>
      <c r="N30" s="174">
        <f>K30+M30-L30</f>
        <v>0</v>
      </c>
      <c r="O30" s="2"/>
      <c r="P30" s="133" t="s">
        <v>158</v>
      </c>
      <c r="Q30" s="210"/>
      <c r="R30" s="210"/>
      <c r="S30" s="168">
        <v>147939621</v>
      </c>
      <c r="T30" s="168">
        <v>179501442</v>
      </c>
      <c r="U30" s="2"/>
      <c r="V30" s="2"/>
      <c r="W30" s="2"/>
      <c r="X30" s="2"/>
      <c r="Y30" s="2"/>
      <c r="Z30" s="2"/>
    </row>
    <row r="31" spans="1:26" ht="15" customHeight="1" x14ac:dyDescent="0.2">
      <c r="A31" s="24"/>
      <c r="B31" s="2"/>
      <c r="C31" s="2"/>
      <c r="D31" s="2"/>
      <c r="E31" s="2"/>
      <c r="F31" s="207"/>
      <c r="G31" s="122" t="s">
        <v>159</v>
      </c>
      <c r="H31" s="111"/>
      <c r="I31" s="171">
        <f t="shared" ref="I31:N31" si="6">SUM(I29:I30)</f>
        <v>40061092</v>
      </c>
      <c r="J31" s="171">
        <f t="shared" si="6"/>
        <v>46990397</v>
      </c>
      <c r="K31" s="171">
        <f t="shared" si="6"/>
        <v>53391125</v>
      </c>
      <c r="L31" s="177">
        <f t="shared" si="6"/>
        <v>0</v>
      </c>
      <c r="M31" s="178">
        <f t="shared" si="6"/>
        <v>0</v>
      </c>
      <c r="N31" s="171">
        <f t="shared" si="6"/>
        <v>53391125</v>
      </c>
      <c r="O31" s="2"/>
      <c r="P31" s="124" t="s">
        <v>160</v>
      </c>
      <c r="Q31" s="210"/>
      <c r="R31" s="210"/>
      <c r="S31" s="188">
        <f>S26+SUM(S28:S30)</f>
        <v>979035725</v>
      </c>
      <c r="T31" s="188">
        <f>T26+SUM(T28:T30)</f>
        <v>1193008379</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-57975099</v>
      </c>
      <c r="T32" s="211">
        <f>T17-T31</f>
        <v>-87187835</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26809296</v>
      </c>
      <c r="J34" s="204">
        <f t="shared" si="8"/>
        <v>31620662</v>
      </c>
      <c r="K34" s="204">
        <f t="shared" si="8"/>
        <v>36958691</v>
      </c>
      <c r="L34" s="213">
        <f t="shared" si="8"/>
        <v>0</v>
      </c>
      <c r="M34" s="214">
        <f t="shared" si="8"/>
        <v>0</v>
      </c>
      <c r="N34" s="204">
        <f t="shared" si="8"/>
        <v>36958691</v>
      </c>
      <c r="O34" s="2"/>
      <c r="P34" s="265" t="s">
        <v>167</v>
      </c>
      <c r="Q34" s="263"/>
      <c r="R34" s="263"/>
      <c r="S34" s="263"/>
      <c r="T34" s="263"/>
      <c r="U34" s="110"/>
      <c r="V34" s="2"/>
      <c r="W34" s="2"/>
      <c r="X34" s="2"/>
      <c r="Y34" s="2"/>
      <c r="Z34" s="2"/>
    </row>
    <row r="35" spans="1:26" ht="12.75" customHeight="1" x14ac:dyDescent="0.2">
      <c r="A35" s="24"/>
      <c r="B35" s="111" t="s">
        <v>168</v>
      </c>
      <c r="C35" s="215">
        <f>IF(ISERROR(E30/N10),"NA",E30/N10)</f>
        <v>4.1202237790138341</v>
      </c>
      <c r="D35" s="215">
        <f>IF(ISERROR($E$30/D36),"NA",$E$30/D36)</f>
        <v>3.6787712312623513</v>
      </c>
      <c r="E35" s="215">
        <f>IF(ISERROR($E$30/E36),"NA",$E$30/E36)</f>
        <v>3.3492090597799993</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7086.2404139999999</v>
      </c>
      <c r="U35" s="110"/>
      <c r="V35" s="2"/>
      <c r="W35" s="2"/>
      <c r="X35" s="2"/>
      <c r="Y35" s="2"/>
      <c r="Z35" s="2"/>
    </row>
    <row r="36" spans="1:26" ht="15" customHeight="1" x14ac:dyDescent="0.2">
      <c r="A36" s="24"/>
      <c r="B36" s="111" t="s">
        <v>170</v>
      </c>
      <c r="C36" s="204">
        <f>N10</f>
        <v>53391125</v>
      </c>
      <c r="D36" s="166">
        <v>59798060.000000007</v>
      </c>
      <c r="E36" s="166">
        <v>65682189.10400001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5.9521421582084706</v>
      </c>
      <c r="D37" s="215">
        <f>IF(ISERROR($E$30/D38),"NA",$E$30/D38)</f>
        <v>5.3144126412575625</v>
      </c>
      <c r="E37" s="215">
        <f>IF(ISERROR($E$30/E38),"NA",$E$30/E38)</f>
        <v>4.838321778275275</v>
      </c>
      <c r="F37" s="2"/>
      <c r="G37" s="122" t="s">
        <v>174</v>
      </c>
      <c r="H37" s="111"/>
      <c r="I37" s="171">
        <f t="shared" ref="I37:N37" si="10">SUM(I34:I36)</f>
        <v>26809296</v>
      </c>
      <c r="J37" s="171">
        <f t="shared" si="10"/>
        <v>31620662</v>
      </c>
      <c r="K37" s="171">
        <f t="shared" si="10"/>
        <v>36958691</v>
      </c>
      <c r="L37" s="177">
        <f t="shared" si="10"/>
        <v>0</v>
      </c>
      <c r="M37" s="178">
        <f t="shared" si="10"/>
        <v>0</v>
      </c>
      <c r="N37" s="171">
        <f t="shared" si="10"/>
        <v>36958691</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36958691</v>
      </c>
      <c r="D38" s="166">
        <v>41393733.920000002</v>
      </c>
      <c r="E38" s="166">
        <v>45466877.337728009</v>
      </c>
      <c r="F38" s="2"/>
      <c r="G38" s="128" t="s">
        <v>162</v>
      </c>
      <c r="H38" s="128"/>
      <c r="I38" s="189">
        <f t="shared" ref="I38:N38" si="11">IF(ISERROR(I37/I10),"NA",I37/I10)</f>
        <v>0.66921031508576956</v>
      </c>
      <c r="J38" s="189">
        <f t="shared" si="11"/>
        <v>0.67291753249073427</v>
      </c>
      <c r="K38" s="189">
        <f t="shared" si="11"/>
        <v>0.69222536517070954</v>
      </c>
      <c r="L38" s="195" t="str">
        <f t="shared" si="11"/>
        <v>NA</v>
      </c>
      <c r="M38" s="196" t="str">
        <f t="shared" si="11"/>
        <v>NA</v>
      </c>
      <c r="N38" s="189">
        <f t="shared" si="11"/>
        <v>0.69222536517070954</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5.9521421582084706</v>
      </c>
      <c r="D39" s="215">
        <f>IF(ISERROR($E$30/D40),"NA",$E$30/D40)</f>
        <v>5.3144126412575625</v>
      </c>
      <c r="E39" s="215">
        <f>IF(ISERROR($E$30/E40),"NA",$E$30/E40)</f>
        <v>4.838321778275275</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36958691</v>
      </c>
      <c r="D40" s="166">
        <v>41393733.920000002</v>
      </c>
      <c r="E40" s="166">
        <v>45466877.337728009</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7086.2404139999999</v>
      </c>
      <c r="U40" s="110"/>
      <c r="V40" s="2"/>
      <c r="W40" s="2"/>
      <c r="X40" s="2"/>
      <c r="Y40" s="2"/>
      <c r="Z40" s="2"/>
    </row>
    <row r="41" spans="1:26" ht="12.75" customHeight="1" x14ac:dyDescent="0.2">
      <c r="A41" s="24"/>
      <c r="B41" s="111" t="s">
        <v>181</v>
      </c>
      <c r="C41" s="215">
        <f>IF(ISERROR($E$17/N52),"NA",E17/N52)</f>
        <v>7.3817849002763474</v>
      </c>
      <c r="D41" s="215">
        <f>IF(ISERROR($E$17/D42),"NA",$E$17/D42)</f>
        <v>7.7362621980483128</v>
      </c>
      <c r="E41" s="215">
        <f>IF(ISERROR($E$17/E42),"NA",$E$17/E42)</f>
        <v>7.0432103041226428</v>
      </c>
      <c r="F41" s="2"/>
      <c r="G41" s="122" t="s">
        <v>182</v>
      </c>
      <c r="H41" s="111"/>
      <c r="I41" s="171">
        <f t="shared" ref="I41:N41" si="13">I40+I37</f>
        <v>26809296</v>
      </c>
      <c r="J41" s="171">
        <f t="shared" si="13"/>
        <v>31620662</v>
      </c>
      <c r="K41" s="171">
        <f t="shared" si="13"/>
        <v>36958691</v>
      </c>
      <c r="L41" s="177">
        <f t="shared" si="13"/>
        <v>0</v>
      </c>
      <c r="M41" s="178">
        <f t="shared" si="13"/>
        <v>0</v>
      </c>
      <c r="N41" s="171">
        <f t="shared" si="13"/>
        <v>36958691</v>
      </c>
      <c r="O41" s="2"/>
      <c r="P41" s="111"/>
      <c r="Q41" s="111"/>
      <c r="R41" s="111"/>
      <c r="S41" s="111"/>
      <c r="T41" s="111"/>
      <c r="U41" s="110"/>
      <c r="V41" s="2"/>
      <c r="W41" s="2"/>
      <c r="X41" s="2"/>
      <c r="Y41" s="2"/>
      <c r="Z41" s="2"/>
    </row>
    <row r="42" spans="1:26" ht="15" customHeight="1" x14ac:dyDescent="0.2">
      <c r="A42" s="24"/>
      <c r="B42" s="111" t="s">
        <v>170</v>
      </c>
      <c r="C42" s="199">
        <f>N52</f>
        <v>4192.7528935232649</v>
      </c>
      <c r="D42" s="187">
        <v>4000.64</v>
      </c>
      <c r="E42" s="187">
        <v>4394.3029760000009</v>
      </c>
      <c r="F42" s="2"/>
      <c r="G42" s="128" t="s">
        <v>162</v>
      </c>
      <c r="H42" s="128"/>
      <c r="I42" s="189">
        <f t="shared" ref="I42:N42" si="14">IF(ISERROR(I41/I10),"NA",I41/I10)</f>
        <v>0.66921031508576956</v>
      </c>
      <c r="J42" s="189">
        <f t="shared" si="14"/>
        <v>0.67291753249073427</v>
      </c>
      <c r="K42" s="189">
        <f t="shared" si="14"/>
        <v>0.69222536517070954</v>
      </c>
      <c r="L42" s="195" t="str">
        <f t="shared" si="14"/>
        <v>NA</v>
      </c>
      <c r="M42" s="196" t="str">
        <f t="shared" si="14"/>
        <v>NA</v>
      </c>
      <c r="N42" s="189">
        <f t="shared" si="14"/>
        <v>0.69222536517070954</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21924870</v>
      </c>
      <c r="J44" s="204">
        <f t="shared" si="15"/>
        <v>25605222</v>
      </c>
      <c r="K44" s="204">
        <f t="shared" si="15"/>
        <v>29710855</v>
      </c>
      <c r="L44" s="213">
        <f t="shared" si="15"/>
        <v>0</v>
      </c>
      <c r="M44" s="214">
        <f t="shared" si="15"/>
        <v>0</v>
      </c>
      <c r="N44" s="204">
        <f t="shared" si="15"/>
        <v>29710855</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0.22574255447002381</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0.18147299381324083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2.9316819791660505E-2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9.0468497576736667E-2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21924870</v>
      </c>
      <c r="J49" s="188">
        <f t="shared" si="19"/>
        <v>25605222</v>
      </c>
      <c r="K49" s="188">
        <f t="shared" si="19"/>
        <v>29710855</v>
      </c>
      <c r="L49" s="193">
        <f t="shared" si="19"/>
        <v>0</v>
      </c>
      <c r="M49" s="194">
        <f t="shared" si="19"/>
        <v>0</v>
      </c>
      <c r="N49" s="188">
        <f t="shared" si="19"/>
        <v>29710855</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0.54728588027505587</v>
      </c>
      <c r="J50" s="189">
        <f t="shared" si="20"/>
        <v>0.54490329162360551</v>
      </c>
      <c r="K50" s="189">
        <f t="shared" si="20"/>
        <v>0.55647553783517389</v>
      </c>
      <c r="L50" s="195" t="str">
        <f t="shared" si="20"/>
        <v>NA</v>
      </c>
      <c r="M50" s="196" t="str">
        <f t="shared" si="20"/>
        <v>NA</v>
      </c>
      <c r="N50" s="189">
        <f t="shared" si="20"/>
        <v>0.55647553783517389</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3094.005949428969</v>
      </c>
      <c r="J52" s="199">
        <f t="shared" si="21"/>
        <v>3613.3719016098853</v>
      </c>
      <c r="K52" s="199">
        <f t="shared" si="21"/>
        <v>4192.7528935232649</v>
      </c>
      <c r="L52" s="200">
        <f t="shared" si="21"/>
        <v>0</v>
      </c>
      <c r="M52" s="201">
        <f t="shared" si="21"/>
        <v>0</v>
      </c>
      <c r="N52" s="199">
        <f t="shared" si="21"/>
        <v>4192.7528935232649</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1232358</v>
      </c>
      <c r="J58" s="168">
        <v>1618886</v>
      </c>
      <c r="K58" s="168">
        <v>657030</v>
      </c>
      <c r="L58" s="172">
        <v>0</v>
      </c>
      <c r="M58" s="173">
        <v>0</v>
      </c>
      <c r="N58" s="181">
        <f>K58+M58-L58</f>
        <v>657030</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3.076196724742301E-2</v>
      </c>
      <c r="J59" s="241">
        <f t="shared" si="23"/>
        <v>3.4451422063959153E-2</v>
      </c>
      <c r="K59" s="241">
        <f t="shared" si="23"/>
        <v>1.2305977819347317E-2</v>
      </c>
      <c r="L59" s="244" t="str">
        <f t="shared" si="23"/>
        <v>NA</v>
      </c>
      <c r="M59" s="245" t="str">
        <f t="shared" si="23"/>
        <v>NA</v>
      </c>
      <c r="N59" s="241">
        <f t="shared" si="23"/>
        <v>1.2305977819347317E-2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0.13621353316082851</v>
      </c>
      <c r="D61" s="189">
        <f>IF(ISERROR(K41/J41-1),0,K41/J41-1)</f>
        <v>0.16881458712028241</v>
      </c>
      <c r="E61" s="189">
        <f>IF(ISERROR(K52/J52-1),0,K52/J52-1)</f>
        <v>0.16034358147724692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0.15444472677798649</v>
      </c>
      <c r="D62" s="189">
        <f>IF(ISERROR((K41/I41)^(1/2)-1),0,(K41/I41)^(1/2)-1)</f>
        <v>0.17412838017576537</v>
      </c>
      <c r="E62" s="189">
        <f>IF(ISERROR((K52/I52)^(1/2)-1),0,(K52/I52)^(1/2)-1)</f>
        <v>0.16409670895964767</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0.12000000000000011</v>
      </c>
      <c r="D64" s="189">
        <f>IF(ISERROR(D38/K41-1),0,D38/K41-1)</f>
        <v>0.12000000000000011</v>
      </c>
      <c r="E64" s="189">
        <f>IF(ISERROR(D42/K52-1),0,D42/K52-1)</f>
        <v>-4.5820227998657037E-2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0.10914742031886826</v>
      </c>
      <c r="D65" s="189">
        <f>IF(ISERROR((E38/K41)^(1/2)-1),0,(E38/K41)^(1/2)-1)</f>
        <v>0.10914742031886826</v>
      </c>
      <c r="E65" s="189">
        <f>IF(ISERROR((E42/K52)^(1/2)-1),0,(E42/K52)^(1/2)-1)</f>
        <v>2.3753418341680321E-2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9.8399999999999987E-2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Á Châu (HOSE:ACB)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573946692</v>
      </c>
      <c r="T9" s="168">
        <v>679152623</v>
      </c>
      <c r="U9" s="110"/>
      <c r="V9" s="2"/>
      <c r="W9" s="2"/>
      <c r="X9" s="2"/>
      <c r="Y9" s="2"/>
      <c r="Z9" s="2"/>
    </row>
    <row r="10" spans="1:26" ht="15" customHeight="1" x14ac:dyDescent="0.2">
      <c r="A10" s="24"/>
      <c r="B10" s="111" t="s">
        <v>107</v>
      </c>
      <c r="C10" s="111"/>
      <c r="D10" s="121"/>
      <c r="E10" s="150">
        <v>46022</v>
      </c>
      <c r="F10" s="2"/>
      <c r="G10" s="122" t="s">
        <v>23</v>
      </c>
      <c r="H10" s="122"/>
      <c r="I10" s="166">
        <v>32746516</v>
      </c>
      <c r="J10" s="166">
        <v>33514759</v>
      </c>
      <c r="K10" s="166">
        <v>33797883</v>
      </c>
      <c r="L10" s="169">
        <v>0</v>
      </c>
      <c r="M10" s="170">
        <v>0</v>
      </c>
      <c r="N10" s="171">
        <f>K10+M10-L10</f>
        <v>33797883</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121090243</v>
      </c>
      <c r="T11" s="168">
        <v>144164116</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32746516</v>
      </c>
      <c r="J12" s="171">
        <f t="shared" si="0"/>
        <v>33514759</v>
      </c>
      <c r="K12" s="171">
        <f t="shared" si="0"/>
        <v>33797883</v>
      </c>
      <c r="L12" s="177">
        <f t="shared" si="0"/>
        <v>0</v>
      </c>
      <c r="M12" s="178">
        <f t="shared" si="0"/>
        <v>0</v>
      </c>
      <c r="N12" s="171">
        <f t="shared" si="0"/>
        <v>33797883</v>
      </c>
      <c r="O12" s="2"/>
      <c r="P12" s="124" t="s">
        <v>115</v>
      </c>
      <c r="Q12" s="120"/>
      <c r="R12" s="120"/>
      <c r="S12" s="171">
        <f>SUM(S8:S11)</f>
        <v>695036935</v>
      </c>
      <c r="T12" s="171">
        <f>SUM(T8:T11)</f>
        <v>823316739</v>
      </c>
      <c r="U12" s="110"/>
      <c r="V12" s="2"/>
      <c r="W12" s="2"/>
      <c r="X12" s="2"/>
      <c r="Y12" s="2"/>
      <c r="Z12" s="2"/>
    </row>
    <row r="13" spans="1:26" ht="12.75" customHeight="1" x14ac:dyDescent="0.2">
      <c r="A13" s="24"/>
      <c r="B13" s="111" t="s">
        <v>116</v>
      </c>
      <c r="C13" s="111"/>
      <c r="D13" s="179"/>
      <c r="E13" s="180">
        <v>1</v>
      </c>
      <c r="F13" s="2"/>
      <c r="G13" s="111" t="s">
        <v>117</v>
      </c>
      <c r="H13" s="125"/>
      <c r="I13" s="168">
        <v>-10874286</v>
      </c>
      <c r="J13" s="168">
        <v>-10902603</v>
      </c>
      <c r="K13" s="168">
        <v>-10924359</v>
      </c>
      <c r="L13" s="172">
        <v>0</v>
      </c>
      <c r="M13" s="173">
        <v>0</v>
      </c>
      <c r="N13" s="181">
        <f>K13+M13-L13</f>
        <v>-10924359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21748572</v>
      </c>
      <c r="J14" s="183">
        <v>21805206</v>
      </c>
      <c r="K14" s="183">
        <v>21848718</v>
      </c>
      <c r="L14" s="184">
        <v>0</v>
      </c>
      <c r="M14" s="185">
        <v>0</v>
      </c>
      <c r="N14" s="186">
        <f>K14+M14-L14</f>
        <v>21848718</v>
      </c>
      <c r="O14" s="2"/>
      <c r="P14" s="111" t="s">
        <v>120</v>
      </c>
      <c r="Q14" s="123"/>
      <c r="R14" s="123"/>
      <c r="S14" s="168">
        <v>5412370</v>
      </c>
      <c r="T14" s="168">
        <v>5438550</v>
      </c>
      <c r="U14" s="110"/>
      <c r="V14" s="2"/>
      <c r="W14" s="2"/>
      <c r="X14" s="2"/>
      <c r="Y14" s="2"/>
      <c r="Z14" s="2"/>
    </row>
    <row r="15" spans="1:26" ht="12.75" customHeight="1" x14ac:dyDescent="0.2">
      <c r="A15" s="24"/>
      <c r="B15" s="2"/>
      <c r="C15" s="2"/>
      <c r="D15" s="2"/>
      <c r="E15" s="2"/>
      <c r="F15" s="2"/>
      <c r="G15" s="122" t="s">
        <v>121</v>
      </c>
      <c r="H15" s="125"/>
      <c r="I15" s="171">
        <f t="shared" ref="I15:N15" si="1">I12-SUM(I13:I14)</f>
        <v>21872230</v>
      </c>
      <c r="J15" s="171">
        <f t="shared" si="1"/>
        <v>22612156</v>
      </c>
      <c r="K15" s="171">
        <f t="shared" si="1"/>
        <v>22873524</v>
      </c>
      <c r="L15" s="177">
        <f t="shared" si="1"/>
        <v>0</v>
      </c>
      <c r="M15" s="178">
        <f t="shared" si="1"/>
        <v>0</v>
      </c>
      <c r="N15" s="171">
        <f t="shared" si="1"/>
        <v>22873524</v>
      </c>
      <c r="O15" s="2"/>
      <c r="P15" s="111" t="s">
        <v>122</v>
      </c>
      <c r="Q15" s="120"/>
      <c r="R15" s="120"/>
      <c r="S15" s="168">
        <v>2190172</v>
      </c>
      <c r="T15" s="168">
        <v>2238063</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130450024</v>
      </c>
      <c r="T16" s="168">
        <v>169657269</v>
      </c>
      <c r="U16" s="110"/>
      <c r="V16" s="2"/>
      <c r="W16" s="2"/>
      <c r="X16" s="2"/>
      <c r="Y16" s="2"/>
      <c r="Z16" s="2"/>
    </row>
    <row r="17" spans="1:26" ht="15" customHeight="1" x14ac:dyDescent="0.2">
      <c r="A17" s="24"/>
      <c r="B17" s="111" t="s">
        <v>126</v>
      </c>
      <c r="C17" s="111"/>
      <c r="D17" s="126">
        <v>0</v>
      </c>
      <c r="E17" s="187">
        <v>26500</v>
      </c>
      <c r="F17" s="2"/>
      <c r="G17" s="122" t="s">
        <v>127</v>
      </c>
      <c r="H17" s="111"/>
      <c r="I17" s="171">
        <f t="shared" ref="I17:N17" si="2">I15-SUM(I16)</f>
        <v>21872230</v>
      </c>
      <c r="J17" s="171">
        <f t="shared" si="2"/>
        <v>22612156</v>
      </c>
      <c r="K17" s="171">
        <f t="shared" si="2"/>
        <v>22873524</v>
      </c>
      <c r="L17" s="177">
        <f t="shared" si="2"/>
        <v>0</v>
      </c>
      <c r="M17" s="178">
        <f t="shared" si="2"/>
        <v>0</v>
      </c>
      <c r="N17" s="171">
        <f t="shared" si="2"/>
        <v>22873524</v>
      </c>
      <c r="O17" s="2"/>
      <c r="P17" s="124" t="s">
        <v>128</v>
      </c>
      <c r="Q17" s="120"/>
      <c r="R17" s="120"/>
      <c r="S17" s="188">
        <f>SUM(S12:S16)</f>
        <v>833089501</v>
      </c>
      <c r="T17" s="188">
        <f>SUM(T12:T16)</f>
        <v>1000650621</v>
      </c>
      <c r="U17" s="110"/>
      <c r="V17" s="2"/>
      <c r="W17" s="2"/>
      <c r="X17" s="2"/>
      <c r="Y17" s="2"/>
      <c r="Z17" s="2"/>
    </row>
    <row r="18" spans="1:26" ht="12.75" customHeight="1" x14ac:dyDescent="0.2">
      <c r="A18" s="127"/>
      <c r="B18" s="128" t="s">
        <v>129</v>
      </c>
      <c r="C18" s="128"/>
      <c r="D18" s="129"/>
      <c r="E18" s="189">
        <f>+IF(ISERROR(E17/E19),"NA",E17/E19)</f>
        <v>0.89830508474576276</v>
      </c>
      <c r="F18" s="2"/>
      <c r="G18" s="111" t="s">
        <v>130</v>
      </c>
      <c r="H18" s="111"/>
      <c r="I18" s="168">
        <v>4023266</v>
      </c>
      <c r="J18" s="168">
        <v>4216103</v>
      </c>
      <c r="K18" s="168">
        <v>3914077</v>
      </c>
      <c r="L18" s="172">
        <v>0</v>
      </c>
      <c r="M18" s="173">
        <v>0</v>
      </c>
      <c r="N18" s="181">
        <f>K18+M18-L18</f>
        <v>3914077</v>
      </c>
      <c r="O18" s="2"/>
      <c r="P18" s="111"/>
      <c r="Q18" s="111"/>
      <c r="R18" s="111"/>
      <c r="S18" s="111"/>
      <c r="T18" s="111"/>
      <c r="U18" s="110"/>
      <c r="V18" s="2"/>
      <c r="W18" s="2"/>
      <c r="X18" s="2"/>
      <c r="Y18" s="2"/>
      <c r="Z18" s="2"/>
    </row>
    <row r="19" spans="1:26" ht="15" customHeight="1" x14ac:dyDescent="0.2">
      <c r="A19" s="24"/>
      <c r="B19" s="111" t="s">
        <v>131</v>
      </c>
      <c r="C19" s="111"/>
      <c r="D19" s="190">
        <v>0</v>
      </c>
      <c r="E19" s="191">
        <v>29500</v>
      </c>
      <c r="F19" s="2"/>
      <c r="G19" s="111" t="s">
        <v>132</v>
      </c>
      <c r="H19" s="111"/>
      <c r="I19" s="183">
        <v>0</v>
      </c>
      <c r="J19" s="183">
        <v>0</v>
      </c>
      <c r="K19" s="183">
        <v>0</v>
      </c>
      <c r="L19" s="184">
        <v>0</v>
      </c>
      <c r="M19" s="185">
        <v>0</v>
      </c>
      <c r="N19" s="192">
        <f>K19+M19-L19</f>
        <v>0</v>
      </c>
      <c r="O19" s="2"/>
      <c r="P19" s="111" t="s">
        <v>133</v>
      </c>
      <c r="Q19" s="123"/>
      <c r="R19" s="123"/>
      <c r="S19" s="168">
        <v>537304578</v>
      </c>
      <c r="T19" s="168">
        <v>585180175</v>
      </c>
      <c r="U19" s="110"/>
      <c r="V19" s="2"/>
      <c r="W19" s="2"/>
      <c r="X19" s="2"/>
      <c r="Y19" s="2"/>
      <c r="Z19" s="2"/>
    </row>
    <row r="20" spans="1:26" ht="15" customHeight="1" x14ac:dyDescent="0.2">
      <c r="A20" s="24"/>
      <c r="B20" s="111" t="s">
        <v>134</v>
      </c>
      <c r="C20" s="111"/>
      <c r="D20" s="190">
        <v>0</v>
      </c>
      <c r="E20" s="191">
        <v>20900</v>
      </c>
      <c r="F20" s="2"/>
      <c r="G20" s="111" t="s">
        <v>135</v>
      </c>
      <c r="H20" s="111"/>
      <c r="I20" s="183">
        <v>0</v>
      </c>
      <c r="J20" s="183">
        <v>0</v>
      </c>
      <c r="K20" s="183">
        <v>0</v>
      </c>
      <c r="L20" s="184">
        <v>0</v>
      </c>
      <c r="M20" s="185">
        <v>0</v>
      </c>
      <c r="N20" s="186">
        <f>K20+M20-L20</f>
        <v>0</v>
      </c>
      <c r="O20" s="2"/>
      <c r="P20" s="111" t="s">
        <v>136</v>
      </c>
      <c r="Q20" s="176"/>
      <c r="R20" s="176"/>
      <c r="S20" s="168">
        <v>22014472</v>
      </c>
      <c r="T20" s="168">
        <v>24861054</v>
      </c>
      <c r="U20" s="110"/>
      <c r="V20" s="2"/>
      <c r="W20" s="2"/>
      <c r="X20" s="2"/>
      <c r="Y20" s="2"/>
      <c r="Z20" s="2"/>
    </row>
    <row r="21" spans="1:26" ht="15" customHeight="1" x14ac:dyDescent="0.2">
      <c r="A21" s="24"/>
      <c r="B21" s="111" t="s">
        <v>137</v>
      </c>
      <c r="C21" s="111"/>
      <c r="D21" s="111"/>
      <c r="E21" s="191">
        <v>700</v>
      </c>
      <c r="F21" s="2"/>
      <c r="G21" s="122" t="s">
        <v>138</v>
      </c>
      <c r="H21" s="111"/>
      <c r="I21" s="188">
        <f t="shared" ref="I21:N21" si="3">I17-SUM(I18:I20)</f>
        <v>17848964</v>
      </c>
      <c r="J21" s="188">
        <f t="shared" si="3"/>
        <v>18396053</v>
      </c>
      <c r="K21" s="188">
        <f t="shared" si="3"/>
        <v>18959447</v>
      </c>
      <c r="L21" s="193">
        <f t="shared" si="3"/>
        <v>0</v>
      </c>
      <c r="M21" s="194">
        <f t="shared" si="3"/>
        <v>0</v>
      </c>
      <c r="N21" s="188">
        <f t="shared" si="3"/>
        <v>18959447</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0.18394402399755305</v>
      </c>
      <c r="J22" s="189">
        <f t="shared" si="4"/>
        <v>0.1864529415063296</v>
      </c>
      <c r="K22" s="189">
        <f t="shared" si="4"/>
        <v>0.17111823259065809</v>
      </c>
      <c r="L22" s="195" t="str">
        <f t="shared" si="4"/>
        <v>NA</v>
      </c>
      <c r="M22" s="196" t="str">
        <f t="shared" si="4"/>
        <v>NA</v>
      </c>
      <c r="N22" s="189">
        <f t="shared" si="4"/>
        <v>0.17111823259065809</v>
      </c>
      <c r="O22" s="2"/>
      <c r="P22" s="124" t="s">
        <v>141</v>
      </c>
      <c r="Q22" s="123"/>
      <c r="R22" s="123"/>
      <c r="S22" s="171">
        <f>SUM(S19:S21)</f>
        <v>559319050</v>
      </c>
      <c r="T22" s="171">
        <f>SUM(T19:T21)</f>
        <v>610041229</v>
      </c>
      <c r="U22" s="110"/>
      <c r="V22" s="2"/>
      <c r="W22" s="2"/>
      <c r="X22" s="2"/>
      <c r="Y22" s="2"/>
      <c r="Z22" s="2"/>
    </row>
    <row r="23" spans="1:26" ht="15" customHeight="1" x14ac:dyDescent="0.2">
      <c r="A23" s="24"/>
      <c r="B23" s="111" t="s">
        <v>142</v>
      </c>
      <c r="C23" s="111"/>
      <c r="D23" s="111"/>
      <c r="E23" s="197">
        <f>+T40</f>
        <v>5136.6565989999999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136121399.87349999</v>
      </c>
      <c r="F24" s="2"/>
      <c r="G24" s="111" t="s">
        <v>144</v>
      </c>
      <c r="H24" s="111"/>
      <c r="I24" s="168">
        <v>5136.6565989999999</v>
      </c>
      <c r="J24" s="168">
        <v>5136.6565989999999</v>
      </c>
      <c r="K24" s="168">
        <v>5136.6565989999999</v>
      </c>
      <c r="L24" s="172">
        <v>0</v>
      </c>
      <c r="M24" s="173">
        <v>0</v>
      </c>
      <c r="N24" s="181">
        <f>+IF(ISERROR(K24+M24-L24),"NA",K24+M24-L24)</f>
        <v>5136.6565989999999</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3474.8213465301187</v>
      </c>
      <c r="J25" s="199">
        <f>+IF(ISERROR(J21/J24),"NA",J21/J24)</f>
        <v>3581.328174357875</v>
      </c>
      <c r="K25" s="199">
        <f>+IF(ISERROR(K21/K24),"NA",K21/K24)</f>
        <v>3691.0092459151365</v>
      </c>
      <c r="L25" s="200" t="str">
        <f>+IF(ISERROR(L21/L24),"NA",L21/L24)</f>
        <v>NA</v>
      </c>
      <c r="M25" s="201" t="str">
        <f>+IF(ISERROR(M21/M24),"NA",M21/M24)</f>
        <v>NA</v>
      </c>
      <c r="N25" s="199" t="str">
        <f>+IF(ISERROR(K25+M25-L25),"NA",K25+M25-L25)</f>
        <v>NA</v>
      </c>
      <c r="O25" s="2"/>
      <c r="P25" s="133" t="s">
        <v>147</v>
      </c>
      <c r="Q25" s="134"/>
      <c r="R25" s="134"/>
      <c r="S25" s="168">
        <v>221224975</v>
      </c>
      <c r="T25" s="168">
        <v>321289179</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780544025</v>
      </c>
      <c r="T26" s="171">
        <f>T22+SUM(T24:T25)</f>
        <v>931330408</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0</v>
      </c>
      <c r="F28" s="2"/>
      <c r="G28" s="265" t="s">
        <v>152</v>
      </c>
      <c r="H28" s="263"/>
      <c r="I28" s="263"/>
      <c r="J28" s="263"/>
      <c r="K28" s="263"/>
      <c r="L28" s="263"/>
      <c r="M28" s="263"/>
      <c r="N28" s="263"/>
      <c r="O28" s="2"/>
      <c r="P28" s="111" t="s">
        <v>132</v>
      </c>
      <c r="Q28" s="136"/>
      <c r="R28" s="136"/>
      <c r="S28" s="168">
        <v>0</v>
      </c>
      <c r="T28" s="168">
        <v>0</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32746516</v>
      </c>
      <c r="J29" s="204">
        <f t="shared" si="5"/>
        <v>33514759</v>
      </c>
      <c r="K29" s="204">
        <f t="shared" si="5"/>
        <v>33797883</v>
      </c>
      <c r="L29" s="205">
        <f t="shared" si="5"/>
        <v>0</v>
      </c>
      <c r="M29" s="206">
        <f t="shared" si="5"/>
        <v>0</v>
      </c>
      <c r="N29" s="204">
        <f t="shared" si="5"/>
        <v>33797883</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136121399.87349999</v>
      </c>
      <c r="F30" s="207"/>
      <c r="G30" s="111" t="s">
        <v>157</v>
      </c>
      <c r="H30" s="111"/>
      <c r="I30" s="209">
        <v>0</v>
      </c>
      <c r="J30" s="209">
        <v>0</v>
      </c>
      <c r="K30" s="209">
        <v>0</v>
      </c>
      <c r="L30" s="172">
        <v>0</v>
      </c>
      <c r="M30" s="173">
        <v>0</v>
      </c>
      <c r="N30" s="174">
        <f>K30+M30-L30</f>
        <v>0</v>
      </c>
      <c r="O30" s="2"/>
      <c r="P30" s="133" t="s">
        <v>158</v>
      </c>
      <c r="Q30" s="210"/>
      <c r="R30" s="210"/>
      <c r="S30" s="168">
        <v>83461678</v>
      </c>
      <c r="T30" s="168">
        <v>94519719</v>
      </c>
      <c r="U30" s="2"/>
      <c r="V30" s="2"/>
      <c r="W30" s="2"/>
      <c r="X30" s="2"/>
      <c r="Y30" s="2"/>
      <c r="Z30" s="2"/>
    </row>
    <row r="31" spans="1:26" ht="15" customHeight="1" x14ac:dyDescent="0.2">
      <c r="A31" s="24"/>
      <c r="B31" s="2"/>
      <c r="C31" s="2"/>
      <c r="D31" s="2"/>
      <c r="E31" s="2"/>
      <c r="F31" s="207"/>
      <c r="G31" s="122" t="s">
        <v>159</v>
      </c>
      <c r="H31" s="111"/>
      <c r="I31" s="171">
        <f t="shared" ref="I31:N31" si="6">SUM(I29:I30)</f>
        <v>32746516</v>
      </c>
      <c r="J31" s="171">
        <f t="shared" si="6"/>
        <v>33514759</v>
      </c>
      <c r="K31" s="171">
        <f t="shared" si="6"/>
        <v>33797883</v>
      </c>
      <c r="L31" s="177">
        <f t="shared" si="6"/>
        <v>0</v>
      </c>
      <c r="M31" s="178">
        <f t="shared" si="6"/>
        <v>0</v>
      </c>
      <c r="N31" s="171">
        <f t="shared" si="6"/>
        <v>33797883</v>
      </c>
      <c r="O31" s="2"/>
      <c r="P31" s="124" t="s">
        <v>160</v>
      </c>
      <c r="Q31" s="210"/>
      <c r="R31" s="210"/>
      <c r="S31" s="188">
        <f>S26+SUM(S28:S30)</f>
        <v>864005703</v>
      </c>
      <c r="T31" s="188">
        <f>T26+SUM(T28:T30)</f>
        <v>1025850127</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-30916202</v>
      </c>
      <c r="T32" s="211">
        <f>T17-T31</f>
        <v>-25199506</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21872230</v>
      </c>
      <c r="J34" s="204">
        <f t="shared" si="8"/>
        <v>22612156</v>
      </c>
      <c r="K34" s="204">
        <f t="shared" si="8"/>
        <v>22873524</v>
      </c>
      <c r="L34" s="213">
        <f t="shared" si="8"/>
        <v>0</v>
      </c>
      <c r="M34" s="214">
        <f t="shared" si="8"/>
        <v>0</v>
      </c>
      <c r="N34" s="204">
        <f t="shared" si="8"/>
        <v>22873524</v>
      </c>
      <c r="O34" s="2"/>
      <c r="P34" s="265" t="s">
        <v>167</v>
      </c>
      <c r="Q34" s="263"/>
      <c r="R34" s="263"/>
      <c r="S34" s="263"/>
      <c r="T34" s="263"/>
      <c r="U34" s="110"/>
      <c r="V34" s="2"/>
      <c r="W34" s="2"/>
      <c r="X34" s="2"/>
      <c r="Y34" s="2"/>
      <c r="Z34" s="2"/>
    </row>
    <row r="35" spans="1:26" ht="12.75" customHeight="1" x14ac:dyDescent="0.2">
      <c r="A35" s="24"/>
      <c r="B35" s="111" t="s">
        <v>168</v>
      </c>
      <c r="C35" s="215">
        <f>IF(ISERROR(E30/N10),"NA",E30/N10)</f>
        <v>4.0275126070322216</v>
      </c>
      <c r="D35" s="215">
        <f>IF(ISERROR($E$30/D36),"NA",$E$30/D36)</f>
        <v>3.8913165285335487</v>
      </c>
      <c r="E35" s="215">
        <f>IF(ISERROR($E$30/E36),"NA",$E$30/E36)</f>
        <v>3.7827515587960998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5136.6565989999999</v>
      </c>
      <c r="U35" s="110"/>
      <c r="V35" s="2"/>
      <c r="W35" s="2"/>
      <c r="X35" s="2"/>
      <c r="Y35" s="2"/>
      <c r="Z35" s="2"/>
    </row>
    <row r="36" spans="1:26" ht="15" customHeight="1" x14ac:dyDescent="0.2">
      <c r="A36" s="24"/>
      <c r="B36" s="111" t="s">
        <v>170</v>
      </c>
      <c r="C36" s="204">
        <f>N10</f>
        <v>33797883</v>
      </c>
      <c r="D36" s="166">
        <v>34980808.904999986</v>
      </c>
      <c r="E36" s="166">
        <v>35984758.120573491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5.9510462783740712</v>
      </c>
      <c r="D37" s="215">
        <f>IF(ISERROR($E$30/D38),"NA",$E$30/D38)</f>
        <v>5.7498031675111827</v>
      </c>
      <c r="E37" s="215">
        <f>IF(ISERROR($E$30/E38),"NA",$E$30/E38)</f>
        <v>5.5893877393906699</v>
      </c>
      <c r="F37" s="2"/>
      <c r="G37" s="122" t="s">
        <v>174</v>
      </c>
      <c r="H37" s="111"/>
      <c r="I37" s="171">
        <f t="shared" ref="I37:N37" si="10">SUM(I34:I36)</f>
        <v>21872230</v>
      </c>
      <c r="J37" s="171">
        <f t="shared" si="10"/>
        <v>22612156</v>
      </c>
      <c r="K37" s="171">
        <f t="shared" si="10"/>
        <v>22873524</v>
      </c>
      <c r="L37" s="177">
        <f t="shared" si="10"/>
        <v>0</v>
      </c>
      <c r="M37" s="178">
        <f t="shared" si="10"/>
        <v>0</v>
      </c>
      <c r="N37" s="171">
        <f t="shared" si="10"/>
        <v>22873524</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22873524</v>
      </c>
      <c r="D38" s="166">
        <v>23674097.339999989</v>
      </c>
      <c r="E38" s="166">
        <v>24353543.933657989</v>
      </c>
      <c r="F38" s="2"/>
      <c r="G38" s="128" t="s">
        <v>162</v>
      </c>
      <c r="H38" s="128"/>
      <c r="I38" s="189">
        <f t="shared" ref="I38:N38" si="11">IF(ISERROR(I37/I10),"NA",I37/I10)</f>
        <v>0.66792540617145346</v>
      </c>
      <c r="J38" s="189">
        <f t="shared" si="11"/>
        <v>0.67469248398891968</v>
      </c>
      <c r="K38" s="189">
        <f t="shared" si="11"/>
        <v>0.67677386775970549</v>
      </c>
      <c r="L38" s="195" t="str">
        <f t="shared" si="11"/>
        <v>NA</v>
      </c>
      <c r="M38" s="196" t="str">
        <f t="shared" si="11"/>
        <v>NA</v>
      </c>
      <c r="N38" s="189">
        <f t="shared" si="11"/>
        <v>0.67677386775970549</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5.9510462783740712</v>
      </c>
      <c r="D39" s="215">
        <f>IF(ISERROR($E$30/D40),"NA",$E$30/D40)</f>
        <v>5.7498031675111827</v>
      </c>
      <c r="E39" s="215">
        <f>IF(ISERROR($E$30/E40),"NA",$E$30/E40)</f>
        <v>5.5893877393906699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22873524</v>
      </c>
      <c r="D40" s="166">
        <v>23674097.339999989</v>
      </c>
      <c r="E40" s="166">
        <v>24353543.933657989</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5136.6565989999999</v>
      </c>
      <c r="U40" s="110"/>
      <c r="V40" s="2"/>
      <c r="W40" s="2"/>
      <c r="X40" s="2"/>
      <c r="Y40" s="2"/>
      <c r="Z40" s="2"/>
    </row>
    <row r="41" spans="1:26" ht="12.75" customHeight="1" x14ac:dyDescent="0.2">
      <c r="A41" s="24"/>
      <c r="B41" s="111" t="s">
        <v>181</v>
      </c>
      <c r="C41" s="215">
        <f>IF(ISERROR($E$17/N52),"NA",E17/N52)</f>
        <v>7.1796081327424792</v>
      </c>
      <c r="D41" s="215">
        <f>IF(ISERROR($E$17/D42),"NA",$E$17/D42)</f>
        <v>8.472489984877404</v>
      </c>
      <c r="E41" s="215">
        <f>IF(ISERROR($E$17/E42),"NA",$E$17/E42)</f>
        <v>8.2361135266621996</v>
      </c>
      <c r="F41" s="2"/>
      <c r="G41" s="122" t="s">
        <v>182</v>
      </c>
      <c r="H41" s="111"/>
      <c r="I41" s="171">
        <f t="shared" ref="I41:N41" si="13">I40+I37</f>
        <v>21872230</v>
      </c>
      <c r="J41" s="171">
        <f t="shared" si="13"/>
        <v>22612156</v>
      </c>
      <c r="K41" s="171">
        <f t="shared" si="13"/>
        <v>22873524</v>
      </c>
      <c r="L41" s="177">
        <f t="shared" si="13"/>
        <v>0</v>
      </c>
      <c r="M41" s="178">
        <f t="shared" si="13"/>
        <v>0</v>
      </c>
      <c r="N41" s="171">
        <f t="shared" si="13"/>
        <v>22873524</v>
      </c>
      <c r="O41" s="2"/>
      <c r="P41" s="111"/>
      <c r="Q41" s="111"/>
      <c r="R41" s="111"/>
      <c r="S41" s="111"/>
      <c r="T41" s="111"/>
      <c r="U41" s="110"/>
      <c r="V41" s="2"/>
      <c r="W41" s="2"/>
      <c r="X41" s="2"/>
      <c r="Y41" s="2"/>
      <c r="Z41" s="2"/>
    </row>
    <row r="42" spans="1:26" ht="15" customHeight="1" x14ac:dyDescent="0.2">
      <c r="A42" s="24"/>
      <c r="B42" s="111" t="s">
        <v>170</v>
      </c>
      <c r="C42" s="199">
        <f>N52</f>
        <v>3691.0092459151365</v>
      </c>
      <c r="D42" s="187">
        <v>3127.77</v>
      </c>
      <c r="E42" s="187">
        <v>3217.5369989999999</v>
      </c>
      <c r="F42" s="2"/>
      <c r="G42" s="128" t="s">
        <v>162</v>
      </c>
      <c r="H42" s="128"/>
      <c r="I42" s="189">
        <f t="shared" ref="I42:N42" si="14">IF(ISERROR(I41/I10),"NA",I41/I10)</f>
        <v>0.66792540617145346</v>
      </c>
      <c r="J42" s="189">
        <f t="shared" si="14"/>
        <v>0.67469248398891968</v>
      </c>
      <c r="K42" s="189">
        <f t="shared" si="14"/>
        <v>0.67677386775970549</v>
      </c>
      <c r="L42" s="195" t="str">
        <f t="shared" si="14"/>
        <v>NA</v>
      </c>
      <c r="M42" s="196" t="str">
        <f t="shared" si="14"/>
        <v>NA</v>
      </c>
      <c r="N42" s="189">
        <f t="shared" si="14"/>
        <v>0.67677386775970549</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17848964</v>
      </c>
      <c r="J44" s="204">
        <f t="shared" si="15"/>
        <v>18396053</v>
      </c>
      <c r="K44" s="204">
        <f t="shared" si="15"/>
        <v>18959447</v>
      </c>
      <c r="L44" s="213">
        <f t="shared" si="15"/>
        <v>0</v>
      </c>
      <c r="M44" s="214">
        <f t="shared" si="15"/>
        <v>0</v>
      </c>
      <c r="N44" s="204">
        <f t="shared" si="15"/>
        <v>18959447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0.25703275045087998</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0.21304976047580973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2.0678444859810949E-2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0.10566037735849057</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17848964</v>
      </c>
      <c r="J49" s="188">
        <f t="shared" si="19"/>
        <v>18396053</v>
      </c>
      <c r="K49" s="188">
        <f t="shared" si="19"/>
        <v>18959447</v>
      </c>
      <c r="L49" s="193">
        <f t="shared" si="19"/>
        <v>0</v>
      </c>
      <c r="M49" s="194">
        <f t="shared" si="19"/>
        <v>0</v>
      </c>
      <c r="N49" s="188">
        <f t="shared" si="19"/>
        <v>18959447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0.54506451923007626</v>
      </c>
      <c r="J50" s="189">
        <f t="shared" si="20"/>
        <v>0.5488940857369734</v>
      </c>
      <c r="K50" s="189">
        <f t="shared" si="20"/>
        <v>0.56096551964512098</v>
      </c>
      <c r="L50" s="195" t="str">
        <f t="shared" si="20"/>
        <v>NA</v>
      </c>
      <c r="M50" s="196" t="str">
        <f t="shared" si="20"/>
        <v>NA</v>
      </c>
      <c r="N50" s="189">
        <f t="shared" si="20"/>
        <v>0.56096551964512098</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3474.8213465301187</v>
      </c>
      <c r="J52" s="199">
        <f t="shared" si="21"/>
        <v>3581.328174357875</v>
      </c>
      <c r="K52" s="199">
        <f t="shared" si="21"/>
        <v>3691.0092459151365</v>
      </c>
      <c r="L52" s="200">
        <f t="shared" si="21"/>
        <v>0</v>
      </c>
      <c r="M52" s="201">
        <f t="shared" si="21"/>
        <v>0</v>
      </c>
      <c r="N52" s="199">
        <f t="shared" si="21"/>
        <v>3691.0092459151365</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1276249</v>
      </c>
      <c r="J58" s="168">
        <v>919740</v>
      </c>
      <c r="K58" s="168">
        <v>701864</v>
      </c>
      <c r="L58" s="172">
        <v>0</v>
      </c>
      <c r="M58" s="173">
        <v>0</v>
      </c>
      <c r="N58" s="181">
        <f>K58+M58-L58</f>
        <v>701864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3.8973581189522571E-2</v>
      </c>
      <c r="J59" s="241">
        <f t="shared" si="23"/>
        <v>2.7442834961158454E-2</v>
      </c>
      <c r="K59" s="241">
        <f t="shared" si="23"/>
        <v>2.0766507772099218E-2</v>
      </c>
      <c r="L59" s="244" t="str">
        <f t="shared" si="23"/>
        <v>NA</v>
      </c>
      <c r="M59" s="245" t="str">
        <f t="shared" si="23"/>
        <v>NA</v>
      </c>
      <c r="N59" s="241">
        <f t="shared" si="23"/>
        <v>2.0766507772099218E-2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8.4477408893197659E-3</v>
      </c>
      <c r="D61" s="189">
        <f>IF(ISERROR(K41/J41-1),0,K41/J41-1)</f>
        <v>1.1558738582910788E-2</v>
      </c>
      <c r="E61" s="189">
        <f>IF(ISERROR(K52/J52-1),0,K52/J52-1)</f>
        <v>3.062580869928988E-2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1.5926288996600979E-2</v>
      </c>
      <c r="D62" s="189">
        <f>IF(ISERROR((K41/I41)^(1/2)-1),0,(K41/I41)^(1/2)-1)</f>
        <v>2.2633481243097719E-2</v>
      </c>
      <c r="E62" s="189">
        <f>IF(ISERROR((K52/I52)^(1/2)-1),0,(K52/I52)^(1/2)-1)</f>
        <v>3.0638415601936364E-2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3.4999999999999698E-2</v>
      </c>
      <c r="D64" s="189">
        <f>IF(ISERROR(D38/K41-1),0,D38/K41-1)</f>
        <v>3.4999999999999476E-2</v>
      </c>
      <c r="E64" s="189">
        <f>IF(ISERROR(D42/K52-1),0,D42/K52-1)</f>
        <v>-0.15259762530762477</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3.18451918771534E-2</v>
      </c>
      <c r="D65" s="189">
        <f>IF(ISERROR((E38/K41)^(1/2)-1),0,(E38/K41)^(1/2)-1)</f>
        <v>3.18451918771534E-2</v>
      </c>
      <c r="E65" s="189">
        <f>IF(ISERROR((E42/K52)^(1/2)-1),0,(E42/K52)^(1/2)-1)</f>
        <v>-6.6339021461190972E-2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2.87E-2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
  <sheetViews>
    <sheetView showGridLines="0" workbookViewId="0">
      <pane ySplit="3" topLeftCell="A4" activePane="bottomLeft" state="frozen"/>
      <selection pane="bottomLeft"/>
    </sheetView>
  </sheetViews>
  <sheetFormatPr defaultRowHeight="12.75" x14ac:dyDescent="0.2"/>
  <cols>
    <col min="1" max="1" width="24.7109375" style="151" customWidth="1"/>
    <col min="2" max="2" width="120.7109375" style="151" customWidth="1"/>
    <col min="3" max="3" width="18.7109375" style="151" customWidth="1"/>
    <col min="4" max="4" width="18.7109375" customWidth="1"/>
  </cols>
  <sheetData>
    <row r="1" spans="1:4" x14ac:dyDescent="0.2">
      <c r="A1" s="270" t="s">
        <v>264</v>
      </c>
      <c r="B1" s="270"/>
      <c r="C1" s="270"/>
      <c r="D1" s="270"/>
    </row>
    <row r="2" spans="1:4" x14ac:dyDescent="0.2">
      <c r="A2" s="257" t="s">
        <v>265</v>
      </c>
      <c r="B2" s="256" t="s">
        <v>266</v>
      </c>
      <c r="C2" s="256"/>
      <c r="D2" s="256"/>
    </row>
    <row r="3" spans="1:4" x14ac:dyDescent="0.2">
      <c r="A3" s="257" t="s">
        <v>281</v>
      </c>
      <c r="B3" s="256" t="s">
        <v>275</v>
      </c>
      <c r="C3" s="256"/>
      <c r="D3" s="256"/>
    </row>
    <row r="4" spans="1:4" x14ac:dyDescent="0.2">
      <c r="A4" s="257" t="s">
        <v>267</v>
      </c>
      <c r="B4" s="256" t="s">
        <v>282</v>
      </c>
      <c r="C4" s="256"/>
      <c r="D4" s="256"/>
    </row>
    <row r="5" spans="1:4" x14ac:dyDescent="0.2">
      <c r="A5"/>
      <c r="B5"/>
      <c r="C5"/>
    </row>
    <row r="6" spans="1:4" ht="67.5" x14ac:dyDescent="0.2">
      <c r="A6" s="250" t="s">
        <v>252</v>
      </c>
      <c r="B6" s="251" t="s">
        <v>253</v>
      </c>
      <c r="C6" s="251" t="s">
        <v>254</v>
      </c>
    </row>
    <row r="7" spans="1:4" ht="67.5" x14ac:dyDescent="0.2">
      <c r="A7" s="153" t="s">
        <v>255</v>
      </c>
      <c r="B7" s="154" t="s">
        <v>256</v>
      </c>
      <c r="C7" s="154" t="s">
        <v>257</v>
      </c>
    </row>
    <row r="8" spans="1:4" ht="94.5" x14ac:dyDescent="0.2">
      <c r="A8" s="250" t="s">
        <v>258</v>
      </c>
      <c r="B8" s="251" t="s">
        <v>259</v>
      </c>
      <c r="C8" s="251" t="s">
        <v>260</v>
      </c>
    </row>
  </sheetData>
  <mergeCells count="1">
    <mergeCell ref="A1:D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4" width="9.7109375" style="151" customWidth="1"/>
    <col min="5" max="5" width="10.7109375" style="151" customWidth="1"/>
    <col min="6" max="6" width="0.85546875" style="151" customWidth="1"/>
    <col min="7" max="11" width="8.28515625" style="151" customWidth="1"/>
    <col min="12" max="12" width="0.85546875" style="151" customWidth="1"/>
    <col min="13" max="16" width="8.7109375" style="151" customWidth="1"/>
    <col min="17" max="17" width="0.85546875" style="151" customWidth="1"/>
    <col min="18" max="24" width="7.7109375" style="151" customWidth="1"/>
    <col min="25" max="25" width="0.85546875" style="151" customWidth="1"/>
    <col min="26" max="26" width="8" style="151" customWidth="1"/>
  </cols>
  <sheetData>
    <row r="1" spans="1:26" ht="26.25" customHeight="1" x14ac:dyDescent="0.4">
      <c r="A1" s="17" t="s">
        <v>14</v>
      </c>
      <c r="B1" s="18"/>
      <c r="C1" s="18"/>
      <c r="D1" s="19"/>
      <c r="E1" s="19"/>
      <c r="F1" s="19"/>
      <c r="G1" s="18"/>
      <c r="H1" s="18"/>
      <c r="I1" s="18"/>
      <c r="J1" s="18"/>
      <c r="K1" s="18"/>
      <c r="L1" s="18"/>
      <c r="M1" s="18"/>
      <c r="N1" s="18"/>
      <c r="O1" s="18"/>
      <c r="P1" s="18"/>
      <c r="Q1" s="18"/>
      <c r="R1" s="18"/>
      <c r="S1" s="18"/>
      <c r="T1" s="18"/>
      <c r="U1" s="18"/>
      <c r="V1" s="18"/>
      <c r="W1" s="18"/>
      <c r="X1" s="18"/>
      <c r="Y1" s="20"/>
      <c r="Z1" s="2"/>
    </row>
    <row r="2" spans="1:26" ht="18" customHeight="1" x14ac:dyDescent="0.25">
      <c r="A2" s="21" t="s">
        <v>24</v>
      </c>
      <c r="B2" s="19"/>
      <c r="C2" s="19"/>
      <c r="D2" s="19"/>
      <c r="E2" s="19"/>
      <c r="F2" s="19"/>
      <c r="G2" s="18"/>
      <c r="H2" s="18"/>
      <c r="I2" s="18"/>
      <c r="J2" s="18"/>
      <c r="K2" s="18"/>
      <c r="L2" s="18"/>
      <c r="M2" s="18"/>
      <c r="N2" s="18"/>
      <c r="O2" s="18"/>
      <c r="P2" s="18"/>
      <c r="Q2" s="18"/>
      <c r="R2" s="18"/>
      <c r="S2" s="18"/>
      <c r="T2" s="18"/>
      <c r="U2" s="18"/>
      <c r="V2" s="18"/>
      <c r="W2" s="18"/>
      <c r="X2" s="18"/>
      <c r="Y2" s="20"/>
      <c r="Z2" s="2"/>
    </row>
    <row r="3" spans="1:26" ht="12.75" customHeight="1" x14ac:dyDescent="0.2">
      <c r="A3" s="22" t="s">
        <v>16</v>
      </c>
      <c r="B3" s="18"/>
      <c r="C3" s="18"/>
      <c r="D3" s="19"/>
      <c r="E3" s="19"/>
      <c r="F3" s="19"/>
      <c r="G3" s="18"/>
      <c r="H3" s="18"/>
      <c r="I3" s="18"/>
      <c r="J3" s="18"/>
      <c r="K3" s="18"/>
      <c r="L3" s="18"/>
      <c r="M3" s="18"/>
      <c r="N3" s="18"/>
      <c r="O3" s="18"/>
      <c r="P3" s="18"/>
      <c r="Q3" s="18"/>
      <c r="R3" s="18"/>
      <c r="S3" s="18"/>
      <c r="T3" s="18"/>
      <c r="U3" s="18"/>
      <c r="V3" s="18"/>
      <c r="W3" s="18"/>
      <c r="X3" s="18"/>
      <c r="Y3" s="20"/>
      <c r="Z3" s="2"/>
    </row>
    <row r="4" spans="1:26" ht="12.75" customHeight="1" x14ac:dyDescent="0.2">
      <c r="A4" s="23"/>
      <c r="B4" s="24"/>
      <c r="C4" s="24"/>
      <c r="D4" s="25"/>
      <c r="E4" s="25"/>
      <c r="F4" s="25"/>
      <c r="G4" s="24"/>
      <c r="H4" s="24"/>
      <c r="I4" s="24"/>
      <c r="J4" s="24"/>
      <c r="K4" s="24"/>
      <c r="L4" s="24"/>
      <c r="M4" s="24"/>
      <c r="N4" s="24"/>
      <c r="O4" s="24"/>
      <c r="P4" s="24"/>
      <c r="Q4" s="24"/>
      <c r="R4" s="24"/>
      <c r="S4" s="24"/>
      <c r="T4" s="24"/>
      <c r="U4" s="24"/>
      <c r="V4" s="24"/>
      <c r="W4" s="24"/>
      <c r="X4" s="24"/>
      <c r="Y4" s="2"/>
      <c r="Z4" s="2"/>
    </row>
    <row r="5" spans="1:26" ht="12.75"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row>
    <row r="6" spans="1:26" ht="15" customHeight="1" x14ac:dyDescent="0.2">
      <c r="A6" s="2"/>
      <c r="B6" s="2"/>
      <c r="C6" s="2"/>
      <c r="D6" s="264" t="s">
        <v>25</v>
      </c>
      <c r="E6" s="263"/>
      <c r="F6" s="27"/>
      <c r="G6" s="264" t="s">
        <v>26</v>
      </c>
      <c r="H6" s="263"/>
      <c r="I6" s="263"/>
      <c r="J6" s="263"/>
      <c r="K6" s="263"/>
      <c r="L6" s="2"/>
      <c r="M6" s="264" t="s">
        <v>27</v>
      </c>
      <c r="N6" s="263"/>
      <c r="O6" s="263"/>
      <c r="P6" s="263"/>
      <c r="Q6" s="2"/>
      <c r="R6" s="264" t="s">
        <v>28</v>
      </c>
      <c r="S6" s="263"/>
      <c r="T6" s="263"/>
      <c r="U6" s="263"/>
      <c r="V6" s="263"/>
      <c r="W6" s="263"/>
      <c r="X6" s="263"/>
      <c r="Y6" s="2"/>
      <c r="Z6" s="2"/>
    </row>
    <row r="7" spans="1:26" ht="15" customHeight="1" x14ac:dyDescent="0.2">
      <c r="A7" s="28"/>
      <c r="B7" s="28"/>
      <c r="C7" s="28"/>
      <c r="D7" s="28"/>
      <c r="E7" s="28"/>
      <c r="F7" s="28"/>
      <c r="G7" s="28"/>
      <c r="H7" s="28"/>
      <c r="I7" s="28"/>
      <c r="J7" s="28"/>
      <c r="K7" s="28"/>
      <c r="L7" s="28"/>
      <c r="M7" s="27" t="s">
        <v>29</v>
      </c>
      <c r="N7" s="28"/>
      <c r="O7" s="28"/>
      <c r="P7" s="27" t="s">
        <v>30</v>
      </c>
      <c r="Q7" s="27"/>
      <c r="R7" s="266" t="s">
        <v>23</v>
      </c>
      <c r="S7" s="263"/>
      <c r="T7" s="266" t="s">
        <v>31</v>
      </c>
      <c r="U7" s="263"/>
      <c r="V7" s="266" t="s">
        <v>32</v>
      </c>
      <c r="W7" s="263"/>
      <c r="X7" s="263"/>
      <c r="Y7" s="28"/>
      <c r="Z7" s="28"/>
    </row>
    <row r="8" spans="1:26" ht="12.75" customHeight="1" x14ac:dyDescent="0.2">
      <c r="A8" s="28"/>
      <c r="B8" s="28"/>
      <c r="C8" s="28"/>
      <c r="D8" s="27" t="s">
        <v>33</v>
      </c>
      <c r="E8" s="27" t="s">
        <v>18</v>
      </c>
      <c r="F8" s="27"/>
      <c r="G8" s="27"/>
      <c r="H8" s="27" t="s">
        <v>29</v>
      </c>
      <c r="I8" s="27"/>
      <c r="J8" s="27"/>
      <c r="K8" s="27" t="s">
        <v>30</v>
      </c>
      <c r="L8" s="27"/>
      <c r="M8" s="27" t="s">
        <v>34</v>
      </c>
      <c r="N8" s="27" t="s">
        <v>31</v>
      </c>
      <c r="O8" s="27" t="s">
        <v>35</v>
      </c>
      <c r="P8" s="27" t="s">
        <v>36</v>
      </c>
      <c r="Q8" s="27"/>
      <c r="R8" s="27" t="s">
        <v>37</v>
      </c>
      <c r="S8" s="27" t="s">
        <v>38</v>
      </c>
      <c r="T8" s="27" t="s">
        <v>37</v>
      </c>
      <c r="U8" s="27" t="s">
        <v>38</v>
      </c>
      <c r="V8" s="27" t="s">
        <v>37</v>
      </c>
      <c r="W8" s="27" t="s">
        <v>38</v>
      </c>
      <c r="X8" s="27" t="s">
        <v>38</v>
      </c>
      <c r="Y8" s="28"/>
      <c r="Z8" s="28"/>
    </row>
    <row r="9" spans="1:26" ht="15" customHeight="1" x14ac:dyDescent="0.2">
      <c r="A9" s="28"/>
      <c r="B9" s="29" t="s">
        <v>5</v>
      </c>
      <c r="C9" s="152" t="s">
        <v>20</v>
      </c>
      <c r="D9" s="152" t="s">
        <v>22</v>
      </c>
      <c r="E9" s="152" t="s">
        <v>22</v>
      </c>
      <c r="F9" s="152"/>
      <c r="G9" s="152" t="s">
        <v>23</v>
      </c>
      <c r="H9" s="152" t="s">
        <v>34</v>
      </c>
      <c r="I9" s="152" t="s">
        <v>31</v>
      </c>
      <c r="J9" s="152" t="s">
        <v>35</v>
      </c>
      <c r="K9" s="152" t="s">
        <v>36</v>
      </c>
      <c r="L9" s="152"/>
      <c r="M9" s="152" t="s">
        <v>39</v>
      </c>
      <c r="N9" s="152" t="s">
        <v>39</v>
      </c>
      <c r="O9" s="152" t="s">
        <v>39</v>
      </c>
      <c r="P9" s="152" t="s">
        <v>39</v>
      </c>
      <c r="Q9" s="152"/>
      <c r="R9" s="152" t="s">
        <v>40</v>
      </c>
      <c r="S9" s="152" t="s">
        <v>40</v>
      </c>
      <c r="T9" s="152" t="s">
        <v>40</v>
      </c>
      <c r="U9" s="152" t="s">
        <v>40</v>
      </c>
      <c r="V9" s="152" t="s">
        <v>40</v>
      </c>
      <c r="W9" s="152" t="s">
        <v>40</v>
      </c>
      <c r="X9" s="152" t="s">
        <v>41</v>
      </c>
      <c r="Y9" s="28"/>
      <c r="Z9" s="28"/>
    </row>
    <row r="10" spans="1:26" ht="3.75" customHeight="1" x14ac:dyDescent="0.2">
      <c r="A10" s="2"/>
      <c r="B10" s="2"/>
      <c r="C10" s="2"/>
      <c r="D10" s="30"/>
      <c r="E10" s="30"/>
      <c r="F10" s="30"/>
      <c r="G10" s="2"/>
      <c r="H10" s="2"/>
      <c r="I10" s="2"/>
      <c r="J10" s="2"/>
      <c r="K10" s="2"/>
      <c r="L10" s="2"/>
      <c r="M10" s="2"/>
      <c r="N10" s="2"/>
      <c r="O10" s="2"/>
      <c r="P10" s="2"/>
      <c r="Q10" s="2"/>
      <c r="R10" s="2"/>
      <c r="S10" s="2"/>
      <c r="T10" s="2"/>
      <c r="U10" s="2"/>
      <c r="V10" s="2"/>
      <c r="W10" s="2"/>
      <c r="X10" s="2"/>
      <c r="Y10" s="2"/>
      <c r="Z10" s="2"/>
    </row>
    <row r="11" spans="1:26" ht="12.75" customHeight="1" x14ac:dyDescent="0.2">
      <c r="A11" s="28"/>
      <c r="B11" s="28" t="str">
        <f>TargetCo!$E$7</f>
        <v>Ngân hàng Thương mại Cổ phần Đầu tư và Phát triển Việt Nam</v>
      </c>
      <c r="C11" s="28" t="str">
        <f>TargetCo!$E$8</f>
        <v>BID</v>
      </c>
      <c r="D11" s="31">
        <f>TargetCo!$E$24</f>
        <v>303214715.99650002</v>
      </c>
      <c r="E11" s="31">
        <f>TargetCo!$E$30</f>
        <v>303740581.99650002</v>
      </c>
      <c r="F11" s="31"/>
      <c r="G11" s="31">
        <f>TargetCo!$N$10</f>
        <v>91213932</v>
      </c>
      <c r="H11" s="31">
        <f>TargetCo!$N$31</f>
        <v>91213932</v>
      </c>
      <c r="I11" s="31">
        <f>TargetCo!$N$41</f>
        <v>60786180</v>
      </c>
      <c r="J11" s="31">
        <f>TargetCo!$N$37</f>
        <v>60786180</v>
      </c>
      <c r="K11" s="31">
        <f>TargetCo!$N$49</f>
        <v>52902926</v>
      </c>
      <c r="L11" s="32"/>
      <c r="M11" s="33">
        <f>TargetCo!$N$32</f>
        <v>1</v>
      </c>
      <c r="N11" s="33">
        <f>TargetCo!$N$42</f>
        <v>0.6664133281744723</v>
      </c>
      <c r="O11" s="33">
        <f>TargetCo!$N$38</f>
        <v>0.6664133281744723</v>
      </c>
      <c r="P11" s="33">
        <f>TargetCo!$N$50</f>
        <v>0.57998734228450977</v>
      </c>
      <c r="Q11" s="33"/>
      <c r="R11" s="33">
        <f>TargetCo!$C$61</f>
        <v>0.12475634155630289</v>
      </c>
      <c r="S11" s="33">
        <f>TargetCo!$C$64</f>
        <v>0.12000000000000011</v>
      </c>
      <c r="T11" s="33">
        <f>TargetCo!$D$61</f>
        <v>0.14438038619984428</v>
      </c>
      <c r="U11" s="33">
        <f>TargetCo!$D$64</f>
        <v>0.12000000000000011</v>
      </c>
      <c r="V11" s="33">
        <f>TargetCo!$E$61</f>
        <v>0.14377436642458563</v>
      </c>
      <c r="W11" s="33">
        <f>TargetCo!$E$64</f>
        <v>-0.41833156761792722</v>
      </c>
      <c r="X11" s="33">
        <f>TargetCo!$E$66</f>
        <v>9.8399999999999987E-2</v>
      </c>
      <c r="Y11" s="34"/>
      <c r="Z11" s="28"/>
    </row>
    <row r="12" spans="1:26" ht="12.75" customHeight="1" x14ac:dyDescent="0.2">
      <c r="A12" s="2"/>
      <c r="B12" s="2"/>
      <c r="C12" s="2"/>
      <c r="D12" s="35"/>
      <c r="E12" s="35"/>
      <c r="F12" s="35"/>
      <c r="G12" s="35"/>
      <c r="H12" s="35"/>
      <c r="I12" s="35"/>
      <c r="J12" s="35"/>
      <c r="K12" s="35"/>
      <c r="L12" s="36"/>
      <c r="M12" s="37"/>
      <c r="N12" s="37"/>
      <c r="O12" s="37"/>
      <c r="P12" s="37"/>
      <c r="Q12" s="37"/>
      <c r="R12" s="37"/>
      <c r="S12" s="37"/>
      <c r="T12" s="37"/>
      <c r="U12" s="37"/>
      <c r="V12" s="37"/>
      <c r="W12" s="37"/>
      <c r="X12" s="37"/>
      <c r="Y12" s="2"/>
      <c r="Z12" s="2"/>
    </row>
    <row r="13" spans="1:26" ht="15" customHeight="1" x14ac:dyDescent="0.2">
      <c r="A13" s="2"/>
      <c r="B13" s="265" t="s">
        <v>42</v>
      </c>
      <c r="C13" s="263"/>
      <c r="D13" s="263"/>
      <c r="E13" s="263"/>
      <c r="F13" s="263"/>
      <c r="G13" s="263"/>
      <c r="H13" s="263"/>
      <c r="I13" s="263"/>
      <c r="J13" s="263"/>
      <c r="K13" s="263"/>
      <c r="L13" s="263"/>
      <c r="M13" s="263"/>
      <c r="N13" s="263"/>
      <c r="O13" s="263"/>
      <c r="P13" s="263"/>
      <c r="Q13" s="263"/>
      <c r="R13" s="263"/>
      <c r="S13" s="263"/>
      <c r="T13" s="263"/>
      <c r="U13" s="263"/>
      <c r="V13" s="263"/>
      <c r="W13" s="263"/>
      <c r="X13" s="263"/>
      <c r="Y13" s="30"/>
      <c r="Z13" s="2"/>
    </row>
    <row r="14" spans="1:26" ht="12.75" customHeight="1" x14ac:dyDescent="0.2">
      <c r="A14" s="2"/>
      <c r="B14" s="2" t="str">
        <f>'CompCo 1'!$E$7</f>
        <v>Ngân hàng Thương mại Cổ phần Ngoại thương Việt Nam</v>
      </c>
      <c r="C14" s="2" t="str">
        <f>'CompCo 1'!$E$8</f>
        <v>VCB</v>
      </c>
      <c r="D14" s="38">
        <f>'CompCo 1'!$E$24</f>
        <v>515545153.29980004</v>
      </c>
      <c r="E14" s="38">
        <f>'CompCo 1'!$E$30</f>
        <v>515565430.29980004</v>
      </c>
      <c r="F14" s="38"/>
      <c r="G14" s="38">
        <f>'CompCo 1'!$N$10</f>
        <v>72454622</v>
      </c>
      <c r="H14" s="38">
        <f>'CompCo 1'!$N$31</f>
        <v>72454622</v>
      </c>
      <c r="I14" s="38">
        <f>'CompCo 1'!$N$40</f>
        <v>0</v>
      </c>
      <c r="J14" s="38">
        <f>'CompCo 1'!$N$37</f>
        <v>47211823</v>
      </c>
      <c r="K14" s="38">
        <f>'CompCo 1'!$N$49</f>
        <v>38369849</v>
      </c>
      <c r="L14" s="36"/>
      <c r="M14" s="39">
        <f>'CompCo 1'!$N$32</f>
        <v>1</v>
      </c>
      <c r="N14" s="39">
        <f>'CompCo 1'!$N$42</f>
        <v>0.65160540068789541</v>
      </c>
      <c r="O14" s="39">
        <f>'CompCo 1'!$N$38</f>
        <v>0.65160540068789541</v>
      </c>
      <c r="P14" s="39">
        <f>'CompCo 1'!$N$50</f>
        <v>0.52957075671445775</v>
      </c>
      <c r="Q14" s="39"/>
      <c r="R14" s="39">
        <f>'CompCo 1'!$C$61</f>
        <v>5.6521012067689558E-2</v>
      </c>
      <c r="S14" s="39">
        <f>'CompCo 1'!$C$64</f>
        <v>4.6539719527424417E-2</v>
      </c>
      <c r="T14" s="39">
        <f>'CompCo 1'!$D$61</f>
        <v>3.6457710063984683E-2</v>
      </c>
      <c r="U14" s="39">
        <f>'CompCo 1'!$D$64</f>
        <v>4.6539719527424639E-2</v>
      </c>
      <c r="V14" s="39">
        <f>'CompCo 1'!$E$61</f>
        <v>3.2936314877916706E-2</v>
      </c>
      <c r="W14" s="39">
        <f>'CompCo 1'!$E$64</f>
        <v>-0.12166764637450156</v>
      </c>
      <c r="X14" s="39">
        <f>'CompCo 1'!$E$66</f>
        <v>3.8162570012487927E-2</v>
      </c>
      <c r="Y14" s="40"/>
      <c r="Z14" s="2"/>
    </row>
    <row r="15" spans="1:26" ht="12.75" customHeight="1" x14ac:dyDescent="0.2">
      <c r="A15" s="2"/>
      <c r="B15" s="2" t="str">
        <f>'CompCo 2'!$E$7</f>
        <v>Ngân hàng Thương mại Cổ phần Công thương Việt Nam</v>
      </c>
      <c r="C15" s="2" t="str">
        <f>'CompCo 2'!$E$8</f>
        <v>CTG</v>
      </c>
      <c r="D15" s="41">
        <f>'CompCo 2'!$E$24</f>
        <v>260192645.33949998</v>
      </c>
      <c r="E15" s="41">
        <f>'CompCo 2'!$E$30</f>
        <v>260459430.33949998</v>
      </c>
      <c r="F15" s="41"/>
      <c r="G15" s="41">
        <f>'CompCo 2'!$N$10</f>
        <v>87294789</v>
      </c>
      <c r="H15" s="41">
        <f>'CompCo 2'!$N$31</f>
        <v>87294789</v>
      </c>
      <c r="I15" s="41">
        <f>'CompCo 2'!$N$40</f>
        <v>0</v>
      </c>
      <c r="J15" s="41">
        <f>'CompCo 2'!$N$37</f>
        <v>60741865</v>
      </c>
      <c r="K15" s="41">
        <f>'CompCo 2'!$N$49</f>
        <v>51902537</v>
      </c>
      <c r="L15" s="36"/>
      <c r="M15" s="39">
        <f>'CompCo 2'!$N$32</f>
        <v>1</v>
      </c>
      <c r="N15" s="39">
        <f>'CompCo 2'!$N$42</f>
        <v>0.69582463851307319</v>
      </c>
      <c r="O15" s="39">
        <f>'CompCo 2'!$N$38</f>
        <v>0.69582463851307319</v>
      </c>
      <c r="P15" s="39">
        <f>'CompCo 2'!$N$50</f>
        <v>0.59456626901291898</v>
      </c>
      <c r="Q15" s="39"/>
      <c r="R15" s="39">
        <f>'CompCo 2'!$C$61</f>
        <v>6.5757448450245448E-2</v>
      </c>
      <c r="S15" s="39">
        <f>'CompCo 2'!$C$64</f>
        <v>8.6735437729643428E-2</v>
      </c>
      <c r="T15" s="39">
        <f>'CompCo 2'!$D$61</f>
        <v>2.32319241792589E-2</v>
      </c>
      <c r="U15" s="39">
        <f>'CompCo 2'!$D$64</f>
        <v>8.6735437729643428E-2</v>
      </c>
      <c r="V15" s="39">
        <f>'CompCo 2'!$E$61</f>
        <v>-1.972739025808512E-2</v>
      </c>
      <c r="W15" s="39">
        <f>'CompCo 2'!$E$64</f>
        <v>-0.275508723581115</v>
      </c>
      <c r="X15" s="39">
        <f>'CompCo 2'!$E$66</f>
        <v>7.1123058938307657E-2</v>
      </c>
      <c r="Y15" s="40"/>
      <c r="Z15" s="2"/>
    </row>
    <row r="16" spans="1:26" ht="12.75" customHeight="1" x14ac:dyDescent="0.2">
      <c r="A16" s="2"/>
      <c r="B16" s="2" t="str">
        <f>'CompCo 3'!$E$7</f>
        <v>Ngân hàng Thương mại Cổ phần Quân đội</v>
      </c>
      <c r="C16" s="2" t="str">
        <f>'CompCo 3'!$E$8</f>
        <v>MBB</v>
      </c>
      <c r="D16" s="41">
        <f>'CompCo 3'!$E$24</f>
        <v>198958497.75229999</v>
      </c>
      <c r="E16" s="41">
        <f>'CompCo 3'!$E$30</f>
        <v>199562536.75229999</v>
      </c>
      <c r="F16" s="41"/>
      <c r="G16" s="41">
        <f>'CompCo 3'!$N$10</f>
        <v>67693015</v>
      </c>
      <c r="H16" s="41">
        <f>'CompCo 3'!$N$31</f>
        <v>67693015</v>
      </c>
      <c r="I16" s="41">
        <f>'CompCo 3'!$N$40</f>
        <v>0</v>
      </c>
      <c r="J16" s="41">
        <f>'CompCo 3'!$N$37</f>
        <v>48011862</v>
      </c>
      <c r="K16" s="41">
        <f>'CompCo 3'!$N$49</f>
        <v>40522443</v>
      </c>
      <c r="L16" s="36"/>
      <c r="M16" s="39">
        <f>'CompCo 3'!$N$32</f>
        <v>1</v>
      </c>
      <c r="N16" s="39">
        <f>'CompCo 3'!$N$42</f>
        <v>0.70925873223404212</v>
      </c>
      <c r="O16" s="39">
        <f>'CompCo 3'!$N$38</f>
        <v>0.70925873223404212</v>
      </c>
      <c r="P16" s="39">
        <f>'CompCo 3'!$N$50</f>
        <v>0.59862074395711284</v>
      </c>
      <c r="Q16" s="39"/>
      <c r="R16" s="39">
        <f>'CompCo 3'!$C$61</f>
        <v>0.22160402439692106</v>
      </c>
      <c r="S16" s="39">
        <f>'CompCo 3'!$C$64</f>
        <v>0.12000000000000011</v>
      </c>
      <c r="T16" s="39">
        <f>'CompCo 3'!$D$61</f>
        <v>0.25011448740315689</v>
      </c>
      <c r="U16" s="39">
        <f>'CompCo 3'!$D$64</f>
        <v>0.12000000000000033</v>
      </c>
      <c r="V16" s="39">
        <f>'CompCo 3'!$E$61</f>
        <v>0.25805459547057485</v>
      </c>
      <c r="W16" s="39">
        <f>'CompCo 3'!$E$64</f>
        <v>-0.25974799542278337</v>
      </c>
      <c r="X16" s="39">
        <f>'CompCo 3'!$E$66</f>
        <v>9.8399999999999987E-2</v>
      </c>
      <c r="Y16" s="40"/>
      <c r="Z16" s="2"/>
    </row>
    <row r="17" spans="1:26" ht="12.75" customHeight="1" x14ac:dyDescent="0.2">
      <c r="A17" s="2"/>
      <c r="B17" s="2" t="str">
        <f>'CompCo 4'!$E$7</f>
        <v>Ngân hàng Thương mại Cổ phần Kỹ thương Việt Nam</v>
      </c>
      <c r="C17" s="2" t="str">
        <f>'CompCo 4'!$E$8</f>
        <v>TCB</v>
      </c>
      <c r="D17" s="41">
        <f>'CompCo 4'!$E$24</f>
        <v>219319140.81329998</v>
      </c>
      <c r="E17" s="41">
        <f>'CompCo 4'!$E$30</f>
        <v>219983382.81329998</v>
      </c>
      <c r="F17" s="41"/>
      <c r="G17" s="41">
        <f>'CompCo 4'!$N$10</f>
        <v>53391125</v>
      </c>
      <c r="H17" s="41">
        <f>'CompCo 4'!$N$31</f>
        <v>53391125</v>
      </c>
      <c r="I17" s="41">
        <f>'CompCo 4'!$N$40</f>
        <v>0</v>
      </c>
      <c r="J17" s="41">
        <f>'CompCo 4'!$N$37</f>
        <v>36958691</v>
      </c>
      <c r="K17" s="41">
        <f>'CompCo 4'!$N$49</f>
        <v>29710855</v>
      </c>
      <c r="L17" s="36"/>
      <c r="M17" s="39">
        <f>'CompCo 4'!$N$32</f>
        <v>1</v>
      </c>
      <c r="N17" s="39">
        <f>'CompCo 4'!$N$42</f>
        <v>0.69222536517070954</v>
      </c>
      <c r="O17" s="39">
        <f>'CompCo 4'!$N$38</f>
        <v>0.69222536517070954</v>
      </c>
      <c r="P17" s="39">
        <f>'CompCo 4'!$N$50</f>
        <v>0.55647553783517389</v>
      </c>
      <c r="Q17" s="39"/>
      <c r="R17" s="39">
        <f>'CompCo 4'!$C$61</f>
        <v>0.13621353316082851</v>
      </c>
      <c r="S17" s="39">
        <f>'CompCo 4'!$C$64</f>
        <v>0.12000000000000011</v>
      </c>
      <c r="T17" s="39">
        <f>'CompCo 4'!$D$61</f>
        <v>0.16881458712028241</v>
      </c>
      <c r="U17" s="39">
        <f>'CompCo 4'!$D$64</f>
        <v>0.12000000000000011</v>
      </c>
      <c r="V17" s="39">
        <f>'CompCo 4'!$E$61</f>
        <v>0.16034358147724692</v>
      </c>
      <c r="W17" s="39">
        <f>'CompCo 4'!$E$64</f>
        <v>-4.5820227998657037E-2</v>
      </c>
      <c r="X17" s="39">
        <f>'CompCo 4'!$E$66</f>
        <v>9.8399999999999987E-2</v>
      </c>
      <c r="Y17" s="40"/>
      <c r="Z17" s="2"/>
    </row>
    <row r="18" spans="1:26" ht="12.75" customHeight="1" x14ac:dyDescent="0.2">
      <c r="A18" s="2"/>
      <c r="B18" s="2" t="str">
        <f>'CompCo 5'!$E$7</f>
        <v>Ngân hàng Thương mại Cổ phần Á Châu</v>
      </c>
      <c r="C18" s="2" t="str">
        <f>'CompCo 5'!$E$8</f>
        <v>ACB</v>
      </c>
      <c r="D18" s="41">
        <f>'CompCo 5'!$E$24</f>
        <v>136121399.87349999</v>
      </c>
      <c r="E18" s="41">
        <f>'CompCo 5'!$E$30</f>
        <v>136121399.87349999</v>
      </c>
      <c r="F18" s="41"/>
      <c r="G18" s="41">
        <f>'CompCo 5'!$N$10</f>
        <v>33797883</v>
      </c>
      <c r="H18" s="41">
        <f>'CompCo 5'!$N$31</f>
        <v>33797883</v>
      </c>
      <c r="I18" s="41">
        <f>'CompCo 5'!$N$40</f>
        <v>0</v>
      </c>
      <c r="J18" s="41">
        <f>'CompCo 5'!$N$37</f>
        <v>22873524</v>
      </c>
      <c r="K18" s="41">
        <f>'CompCo 5'!$N$49</f>
        <v>18959447</v>
      </c>
      <c r="L18" s="36"/>
      <c r="M18" s="39">
        <f>'CompCo 5'!$N$32</f>
        <v>1</v>
      </c>
      <c r="N18" s="39">
        <f>'CompCo 5'!$N$42</f>
        <v>0.67677386775970549</v>
      </c>
      <c r="O18" s="39">
        <f>'CompCo 5'!$N$38</f>
        <v>0.67677386775970549</v>
      </c>
      <c r="P18" s="39">
        <f>'CompCo 5'!$N$50</f>
        <v>0.56096551964512098</v>
      </c>
      <c r="Q18" s="39"/>
      <c r="R18" s="39">
        <f>'CompCo 5'!$C$61</f>
        <v>8.4477408893197659E-3</v>
      </c>
      <c r="S18" s="39">
        <f>'CompCo 5'!$C$64</f>
        <v>3.4999999999999698E-2</v>
      </c>
      <c r="T18" s="39">
        <f>'CompCo 5'!$D$61</f>
        <v>1.1558738582910788E-2</v>
      </c>
      <c r="U18" s="39">
        <f>'CompCo 5'!$D$64</f>
        <v>3.4999999999999476E-2</v>
      </c>
      <c r="V18" s="39">
        <f>'CompCo 5'!$E$61</f>
        <v>3.062580869928988E-2</v>
      </c>
      <c r="W18" s="39">
        <f>'CompCo 5'!$E$64</f>
        <v>-0.15259762530762477</v>
      </c>
      <c r="X18" s="39">
        <f>'CompCo 5'!$E$66</f>
        <v>2.87E-2</v>
      </c>
      <c r="Y18" s="40"/>
      <c r="Z18" s="2"/>
    </row>
    <row r="19" spans="1:26" ht="12.75" customHeight="1" x14ac:dyDescent="0.2">
      <c r="A19" s="2"/>
      <c r="B19" s="2"/>
      <c r="C19" s="2"/>
      <c r="D19" s="35"/>
      <c r="E19" s="35"/>
      <c r="F19" s="35"/>
      <c r="G19" s="35"/>
      <c r="H19" s="35"/>
      <c r="I19" s="35"/>
      <c r="J19" s="35"/>
      <c r="K19" s="35"/>
      <c r="L19" s="36"/>
      <c r="M19" s="39"/>
      <c r="N19" s="39"/>
      <c r="O19" s="39"/>
      <c r="P19" s="39"/>
      <c r="Q19" s="39"/>
      <c r="R19" s="39"/>
      <c r="S19" s="39"/>
      <c r="T19" s="39"/>
      <c r="U19" s="39"/>
      <c r="V19" s="39"/>
      <c r="W19" s="39"/>
      <c r="X19" s="39"/>
      <c r="Y19" s="40"/>
      <c r="Z19" s="2"/>
    </row>
    <row r="20" spans="1:26" ht="12.75" customHeight="1" x14ac:dyDescent="0.2">
      <c r="A20" s="2"/>
      <c r="B20" s="42" t="s">
        <v>43</v>
      </c>
      <c r="C20" s="43"/>
      <c r="D20" s="3"/>
      <c r="E20" s="44"/>
      <c r="F20" s="43"/>
      <c r="G20" s="43"/>
      <c r="H20" s="3"/>
      <c r="I20" s="44"/>
      <c r="J20" s="44"/>
      <c r="K20" s="44"/>
      <c r="L20" s="44"/>
      <c r="M20" s="45">
        <f>IF(ISERROR(AVERAGE(M14:M18)),"NA",AVERAGE(M14:M18))</f>
        <v>1</v>
      </c>
      <c r="N20" s="45">
        <f>IF(ISERROR(AVERAGE(N14:N18)),"NA",AVERAGE(N14:N18))</f>
        <v>0.68513760087308528</v>
      </c>
      <c r="O20" s="45">
        <f>IF(ISERROR(AVERAGE(O14:O18)),"NA",AVERAGE(O14:O18))</f>
        <v>0.68513760087308528</v>
      </c>
      <c r="P20" s="45">
        <f>IF(ISERROR(AVERAGE(P14:P18)),"NA",AVERAGE(P14:P18))</f>
        <v>0.56803976543295698</v>
      </c>
      <c r="Q20" s="45"/>
      <c r="R20" s="45">
        <f t="shared" ref="R20:X20" si="0">+AVERAGE(R14:R18)</f>
        <v>9.770875179300087E-2</v>
      </c>
      <c r="S20" s="45">
        <f t="shared" si="0"/>
        <v>8.1655031451413548E-2</v>
      </c>
      <c r="T20" s="45">
        <f t="shared" si="0"/>
        <v>9.8035489469918732E-2</v>
      </c>
      <c r="U20" s="45">
        <f t="shared" si="0"/>
        <v>8.165503145141359E-2</v>
      </c>
      <c r="V20" s="45">
        <f t="shared" si="0"/>
        <v>9.2446582053388654E-2</v>
      </c>
      <c r="W20" s="45">
        <f t="shared" si="0"/>
        <v>-0.17106844373693636</v>
      </c>
      <c r="X20" s="45">
        <f t="shared" si="0"/>
        <v>6.6957125790159111E-2</v>
      </c>
      <c r="Y20" s="40"/>
      <c r="Z20" s="2"/>
    </row>
    <row r="21" spans="1:26" ht="12.75" customHeight="1" x14ac:dyDescent="0.2">
      <c r="A21" s="2"/>
      <c r="B21" s="42" t="s">
        <v>44</v>
      </c>
      <c r="C21" s="43"/>
      <c r="D21" s="3"/>
      <c r="E21" s="44"/>
      <c r="F21" s="43"/>
      <c r="G21" s="43"/>
      <c r="H21" s="3"/>
      <c r="I21" s="44"/>
      <c r="J21" s="44"/>
      <c r="K21" s="44"/>
      <c r="L21" s="44"/>
      <c r="M21" s="45">
        <f>IF(ISERROR(MEDIAN(M14:M18)),"NA",MEDIAN(M14:M18))</f>
        <v>1</v>
      </c>
      <c r="N21" s="45">
        <f>IF(ISERROR(MEDIAN(N14:N18)),"NA",MEDIAN(N14:N18))</f>
        <v>0.69222536517070954</v>
      </c>
      <c r="O21" s="45">
        <f>IF(ISERROR(MEDIAN(O14:O18)),"NA",MEDIAN(O14:O18))</f>
        <v>0.69222536517070954</v>
      </c>
      <c r="P21" s="45">
        <f>IF(ISERROR(MEDIAN(P14:P18)),"NA",MEDIAN(P14:P18))</f>
        <v>0.56096551964512098</v>
      </c>
      <c r="Q21" s="45"/>
      <c r="R21" s="45">
        <f t="shared" ref="R21:X21" si="1">MEDIAN(R14:R18)</f>
        <v>6.5757448450245448E-2</v>
      </c>
      <c r="S21" s="45">
        <f t="shared" si="1"/>
        <v>8.6735437729643428E-2</v>
      </c>
      <c r="T21" s="45">
        <f t="shared" si="1"/>
        <v>3.6457710063984683E-2</v>
      </c>
      <c r="U21" s="45">
        <f t="shared" si="1"/>
        <v>8.6735437729643428E-2</v>
      </c>
      <c r="V21" s="45">
        <f t="shared" si="1"/>
        <v>3.2936314877916706E-2</v>
      </c>
      <c r="W21" s="45">
        <f t="shared" si="1"/>
        <v>-0.15259762530762477</v>
      </c>
      <c r="X21" s="45">
        <f t="shared" si="1"/>
        <v>7.1123058938307657E-2</v>
      </c>
      <c r="Y21" s="40"/>
      <c r="Z21" s="2"/>
    </row>
    <row r="22" spans="1:26" ht="12.75" customHeight="1" x14ac:dyDescent="0.2">
      <c r="A22" s="2"/>
      <c r="B22" s="46"/>
      <c r="C22" s="47"/>
      <c r="D22" s="28"/>
      <c r="E22" s="48"/>
      <c r="F22" s="47"/>
      <c r="G22" s="47"/>
      <c r="H22" s="28"/>
      <c r="I22" s="48"/>
      <c r="J22" s="48"/>
      <c r="K22" s="48"/>
      <c r="L22" s="48"/>
      <c r="M22" s="33"/>
      <c r="N22" s="33"/>
      <c r="O22" s="33"/>
      <c r="P22" s="33"/>
      <c r="Q22" s="33"/>
      <c r="R22" s="33"/>
      <c r="S22" s="33"/>
      <c r="T22" s="33"/>
      <c r="U22" s="33"/>
      <c r="V22" s="33"/>
      <c r="W22" s="33"/>
      <c r="X22" s="33"/>
      <c r="Y22" s="40"/>
      <c r="Z22" s="2"/>
    </row>
    <row r="23" spans="1:26" ht="15" customHeight="1" x14ac:dyDescent="0.2">
      <c r="A23" s="2"/>
      <c r="B23" s="265" t="s">
        <v>45</v>
      </c>
      <c r="C23" s="263"/>
      <c r="D23" s="263"/>
      <c r="E23" s="263"/>
      <c r="F23" s="263"/>
      <c r="G23" s="263"/>
      <c r="H23" s="263"/>
      <c r="I23" s="263"/>
      <c r="J23" s="263"/>
      <c r="K23" s="263"/>
      <c r="L23" s="263"/>
      <c r="M23" s="263"/>
      <c r="N23" s="263"/>
      <c r="O23" s="263"/>
      <c r="P23" s="263"/>
      <c r="Q23" s="263"/>
      <c r="R23" s="263"/>
      <c r="S23" s="263"/>
      <c r="T23" s="263"/>
      <c r="U23" s="263"/>
      <c r="V23" s="263"/>
      <c r="W23" s="263"/>
      <c r="X23" s="263"/>
      <c r="Y23" s="30"/>
      <c r="Z23" s="2"/>
    </row>
    <row r="24" spans="1:26" ht="12.75" customHeight="1" x14ac:dyDescent="0.2">
      <c r="A24" s="2"/>
      <c r="B24" s="2" t="str">
        <f>'CompCo 6'!$E$7</f>
        <v>Ngân hàng Thương mại Cổ phần Ngoại thương Việt Nam</v>
      </c>
      <c r="C24" s="2" t="str">
        <f>'CompCo 6'!$E$8</f>
        <v>VCB</v>
      </c>
      <c r="D24" s="38">
        <f>'CompCo 6'!$E$24</f>
        <v>515545153.29980004</v>
      </c>
      <c r="E24" s="38">
        <f>'CompCo 6'!$E$30</f>
        <v>515565430.29980004</v>
      </c>
      <c r="F24" s="38"/>
      <c r="G24" s="38">
        <f>'CompCo 6'!$N$10</f>
        <v>72454622</v>
      </c>
      <c r="H24" s="38">
        <f>'CompCo 6'!$N$31</f>
        <v>72454622</v>
      </c>
      <c r="I24" s="38">
        <f>'CompCo 6'!$N$40</f>
        <v>0</v>
      </c>
      <c r="J24" s="38">
        <f>'CompCo 6'!$N$37</f>
        <v>47211823</v>
      </c>
      <c r="K24" s="38">
        <f>'CompCo 6'!$N$49</f>
        <v>38369849</v>
      </c>
      <c r="L24" s="36"/>
      <c r="M24" s="39">
        <f>'CompCo 6'!$N$32</f>
        <v>1</v>
      </c>
      <c r="N24" s="39">
        <f>'CompCo 6'!$N$42</f>
        <v>0.65160540068789541</v>
      </c>
      <c r="O24" s="39">
        <f>'CompCo 6'!$N$38</f>
        <v>0.65160540068789541</v>
      </c>
      <c r="P24" s="39">
        <f>'CompCo 6'!$N$50</f>
        <v>0.52957075671445775</v>
      </c>
      <c r="Q24" s="39"/>
      <c r="R24" s="39">
        <f>'CompCo 6'!$C$61</f>
        <v>5.6521012067689558E-2</v>
      </c>
      <c r="S24" s="39">
        <f>'CompCo 6'!$C$64</f>
        <v>4.6539719527424417E-2</v>
      </c>
      <c r="T24" s="39">
        <f>'CompCo 6'!$D$61</f>
        <v>3.6457710063984683E-2</v>
      </c>
      <c r="U24" s="39">
        <f>'CompCo 6'!$D$64</f>
        <v>4.6539719527424639E-2</v>
      </c>
      <c r="V24" s="39">
        <f>'CompCo 6'!$E$61</f>
        <v>3.2936314877916706E-2</v>
      </c>
      <c r="W24" s="39">
        <f>'CompCo 6'!$E$64</f>
        <v>-0.12166764637450156</v>
      </c>
      <c r="X24" s="39">
        <f>'CompCo 6'!$E$66</f>
        <v>3.8162570012487927E-2</v>
      </c>
      <c r="Y24" s="30"/>
      <c r="Z24" s="2"/>
    </row>
    <row r="25" spans="1:26" ht="12.75" customHeight="1" x14ac:dyDescent="0.2">
      <c r="A25" s="2"/>
      <c r="B25" s="2" t="str">
        <f>'CompCo 7'!$E$7</f>
        <v>Ngân hàng Thương mại Cổ phần Công thương Việt Nam</v>
      </c>
      <c r="C25" s="2" t="str">
        <f>'CompCo 7'!$E$8</f>
        <v>CTG</v>
      </c>
      <c r="D25" s="41">
        <f>'CompCo 7'!$E$24</f>
        <v>260192645.33949998</v>
      </c>
      <c r="E25" s="41">
        <f>'CompCo 7'!$E$30</f>
        <v>260459430.33949998</v>
      </c>
      <c r="F25" s="41"/>
      <c r="G25" s="41">
        <f>'CompCo 7'!$N$10</f>
        <v>87294789</v>
      </c>
      <c r="H25" s="41">
        <f>'CompCo 7'!$N$31</f>
        <v>87294789</v>
      </c>
      <c r="I25" s="41">
        <f>'CompCo 7'!$N$40</f>
        <v>0</v>
      </c>
      <c r="J25" s="41">
        <f>'CompCo 7'!$N$37</f>
        <v>60741865</v>
      </c>
      <c r="K25" s="41">
        <f>'CompCo 7'!$N$49</f>
        <v>51902537</v>
      </c>
      <c r="L25" s="36"/>
      <c r="M25" s="39">
        <f>'CompCo 7'!$N$32</f>
        <v>1</v>
      </c>
      <c r="N25" s="39">
        <f>'CompCo 7'!$N$42</f>
        <v>0.69582463851307319</v>
      </c>
      <c r="O25" s="39">
        <f>'CompCo 7'!$N$38</f>
        <v>0.69582463851307319</v>
      </c>
      <c r="P25" s="39">
        <f>'CompCo 7'!$N$50</f>
        <v>0.59456626901291898</v>
      </c>
      <c r="Q25" s="39"/>
      <c r="R25" s="39">
        <f>'CompCo 7'!$C$61</f>
        <v>6.5757448450245448E-2</v>
      </c>
      <c r="S25" s="39">
        <f>'CompCo 7'!$C$64</f>
        <v>8.6735437729643428E-2</v>
      </c>
      <c r="T25" s="39">
        <f>'CompCo 7'!$D$61</f>
        <v>2.32319241792589E-2</v>
      </c>
      <c r="U25" s="39">
        <f>'CompCo 7'!$D$64</f>
        <v>8.6735437729643428E-2</v>
      </c>
      <c r="V25" s="39">
        <f>'CompCo 7'!$E$61</f>
        <v>-1.972739025808512E-2</v>
      </c>
      <c r="W25" s="39">
        <f>'CompCo 7'!$E$64</f>
        <v>-0.275508723581115</v>
      </c>
      <c r="X25" s="39">
        <f>'CompCo 7'!$E$66</f>
        <v>7.1123058938307657E-2</v>
      </c>
      <c r="Y25" s="2"/>
      <c r="Z25" s="2"/>
    </row>
    <row r="26" spans="1:26" ht="12.75" customHeight="1" x14ac:dyDescent="0.2">
      <c r="A26" s="2"/>
      <c r="B26" s="2" t="str">
        <f>'CompCo 8'!$E$7</f>
        <v>Ngân hàng Thương mại Cổ phần Quân đội</v>
      </c>
      <c r="C26" s="2" t="str">
        <f>'CompCo 8'!$E$8</f>
        <v>MBB</v>
      </c>
      <c r="D26" s="41">
        <f>'CompCo 8'!$E$24</f>
        <v>198958497.75229999</v>
      </c>
      <c r="E26" s="41">
        <f>'CompCo 8'!$E$30</f>
        <v>199562536.75229999</v>
      </c>
      <c r="F26" s="41"/>
      <c r="G26" s="41">
        <f>'CompCo 8'!$N$10</f>
        <v>67693015</v>
      </c>
      <c r="H26" s="41">
        <f>'CompCo 8'!$N$31</f>
        <v>67693015</v>
      </c>
      <c r="I26" s="41">
        <f>'CompCo 8'!$N$40</f>
        <v>0</v>
      </c>
      <c r="J26" s="41">
        <f>'CompCo 8'!$N$37</f>
        <v>48011862</v>
      </c>
      <c r="K26" s="41">
        <f>'CompCo 8'!$N$49</f>
        <v>40522443</v>
      </c>
      <c r="L26" s="36"/>
      <c r="M26" s="39">
        <f>'CompCo 8'!$N$32</f>
        <v>1</v>
      </c>
      <c r="N26" s="39">
        <f>'CompCo 8'!$N$42</f>
        <v>0.70925873223404212</v>
      </c>
      <c r="O26" s="39">
        <f>'CompCo 8'!$N$38</f>
        <v>0.70925873223404212</v>
      </c>
      <c r="P26" s="39">
        <f>'CompCo 8'!$N$50</f>
        <v>0.59862074395711284</v>
      </c>
      <c r="Q26" s="39"/>
      <c r="R26" s="39">
        <f>'CompCo 8'!$C$61</f>
        <v>0.22160402439692106</v>
      </c>
      <c r="S26" s="39">
        <f>'CompCo 8'!$C$64</f>
        <v>0.12000000000000011</v>
      </c>
      <c r="T26" s="39">
        <f>'CompCo 8'!$D$61</f>
        <v>0.25011448740315689</v>
      </c>
      <c r="U26" s="39">
        <f>'CompCo 8'!$D$64</f>
        <v>0.12000000000000033</v>
      </c>
      <c r="V26" s="39">
        <f>'CompCo 8'!$E$61</f>
        <v>0.25805459547057485</v>
      </c>
      <c r="W26" s="39">
        <f>'CompCo 8'!$E$64</f>
        <v>-0.25974799542278337</v>
      </c>
      <c r="X26" s="39">
        <f>'CompCo 8'!$E$66</f>
        <v>9.8399999999999987E-2</v>
      </c>
      <c r="Y26" s="2"/>
      <c r="Z26" s="2"/>
    </row>
    <row r="27" spans="1:26" ht="12.75" customHeight="1" x14ac:dyDescent="0.2">
      <c r="A27" s="2"/>
      <c r="B27" s="2" t="str">
        <f>'CompCo 9'!$E$7</f>
        <v>Ngân hàng Thương mại Cổ phần Kỹ thương Việt Nam</v>
      </c>
      <c r="C27" s="2" t="str">
        <f>'CompCo 9'!$E$8</f>
        <v>TCB</v>
      </c>
      <c r="D27" s="41">
        <f>'CompCo 9'!$E$24</f>
        <v>219319140.81329998</v>
      </c>
      <c r="E27" s="41">
        <f>'CompCo 9'!$E$30</f>
        <v>219983382.81329998</v>
      </c>
      <c r="F27" s="41"/>
      <c r="G27" s="41">
        <f>'CompCo 9'!$N$10</f>
        <v>53391125</v>
      </c>
      <c r="H27" s="41">
        <f>'CompCo 9'!$N$31</f>
        <v>53391125</v>
      </c>
      <c r="I27" s="41">
        <f>'CompCo 9'!$N$40</f>
        <v>0</v>
      </c>
      <c r="J27" s="41">
        <f>'CompCo 9'!$N$37</f>
        <v>36958691</v>
      </c>
      <c r="K27" s="41">
        <f>'CompCo 9'!$N$49</f>
        <v>29710855</v>
      </c>
      <c r="L27" s="36"/>
      <c r="M27" s="39">
        <f>'CompCo 9'!$N$32</f>
        <v>1</v>
      </c>
      <c r="N27" s="39">
        <f>'CompCo 9'!$N$42</f>
        <v>0.69222536517070954</v>
      </c>
      <c r="O27" s="39">
        <f>'CompCo 9'!$N$38</f>
        <v>0.69222536517070954</v>
      </c>
      <c r="P27" s="39">
        <f>'CompCo 9'!$N$50</f>
        <v>0.55647553783517389</v>
      </c>
      <c r="Q27" s="39"/>
      <c r="R27" s="39">
        <f>'CompCo 9'!$C$61</f>
        <v>0.13621353316082851</v>
      </c>
      <c r="S27" s="39">
        <f>'CompCo 9'!$C$64</f>
        <v>0.12000000000000011</v>
      </c>
      <c r="T27" s="39">
        <f>'CompCo 9'!$D$61</f>
        <v>0.16881458712028241</v>
      </c>
      <c r="U27" s="39">
        <f>'CompCo 9'!$D$64</f>
        <v>0.12000000000000011</v>
      </c>
      <c r="V27" s="39">
        <f>'CompCo 9'!$E$61</f>
        <v>0.16034358147724692</v>
      </c>
      <c r="W27" s="39">
        <f>'CompCo 9'!$E$64</f>
        <v>-4.5820227998657037E-2</v>
      </c>
      <c r="X27" s="39">
        <f>'CompCo 9'!$E$66</f>
        <v>9.8399999999999987E-2</v>
      </c>
      <c r="Y27" s="2"/>
      <c r="Z27" s="2"/>
    </row>
    <row r="28" spans="1:26" ht="12.75" customHeight="1" x14ac:dyDescent="0.2">
      <c r="A28" s="2"/>
      <c r="B28" s="2" t="str">
        <f>'CompCo 10'!$E$7</f>
        <v>Ngân hàng Thương mại Cổ phần Á Châu</v>
      </c>
      <c r="C28" s="2" t="str">
        <f>'CompCo 10'!$E$8</f>
        <v>ACB</v>
      </c>
      <c r="D28" s="41">
        <f>'CompCo 10'!$E$24</f>
        <v>136121399.87349999</v>
      </c>
      <c r="E28" s="41">
        <f>'CompCo 10'!$E$30</f>
        <v>136121399.87349999</v>
      </c>
      <c r="F28" s="41"/>
      <c r="G28" s="41">
        <f>'CompCo 10'!$N$10</f>
        <v>33797883</v>
      </c>
      <c r="H28" s="41">
        <f>'CompCo 10'!$N$31</f>
        <v>33797883</v>
      </c>
      <c r="I28" s="41">
        <f>'CompCo 10'!$N$40</f>
        <v>0</v>
      </c>
      <c r="J28" s="41">
        <f>'CompCo 10'!$N$37</f>
        <v>22873524</v>
      </c>
      <c r="K28" s="41">
        <f>'CompCo 10'!$N$49</f>
        <v>18959447</v>
      </c>
      <c r="L28" s="36"/>
      <c r="M28" s="39">
        <f>'CompCo 10'!$N$32</f>
        <v>1</v>
      </c>
      <c r="N28" s="39">
        <f>'CompCo 10'!$N$42</f>
        <v>0.67677386775970549</v>
      </c>
      <c r="O28" s="39">
        <f>'CompCo 10'!$N$38</f>
        <v>0.67677386775970549</v>
      </c>
      <c r="P28" s="39">
        <f>'CompCo 10'!$N$50</f>
        <v>0.56096551964512098</v>
      </c>
      <c r="Q28" s="39"/>
      <c r="R28" s="39">
        <f>'CompCo 10'!$C$61</f>
        <v>8.4477408893197659E-3</v>
      </c>
      <c r="S28" s="39">
        <f>'CompCo 10'!$C$64</f>
        <v>3.4999999999999698E-2</v>
      </c>
      <c r="T28" s="39">
        <f>'CompCo 10'!$D$61</f>
        <v>1.1558738582910788E-2</v>
      </c>
      <c r="U28" s="39">
        <f>'CompCo 10'!$D$64</f>
        <v>3.4999999999999476E-2</v>
      </c>
      <c r="V28" s="39">
        <f>'CompCo 10'!$E$61</f>
        <v>3.062580869928988E-2</v>
      </c>
      <c r="W28" s="39">
        <f>'CompCo 10'!$E$64</f>
        <v>-0.15259762530762477</v>
      </c>
      <c r="X28" s="39">
        <f>'CompCo 10'!$E$66</f>
        <v>2.87E-2</v>
      </c>
      <c r="Y28" s="2"/>
      <c r="Z28" s="2"/>
    </row>
    <row r="29" spans="1:26" ht="12.75" customHeight="1" x14ac:dyDescent="0.2">
      <c r="A29" s="2"/>
      <c r="B29" s="2"/>
      <c r="C29" s="2"/>
      <c r="D29" s="35"/>
      <c r="E29" s="35"/>
      <c r="F29" s="35"/>
      <c r="G29" s="35"/>
      <c r="H29" s="35"/>
      <c r="I29" s="35"/>
      <c r="J29" s="35"/>
      <c r="K29" s="35"/>
      <c r="L29" s="36"/>
      <c r="M29" s="39"/>
      <c r="N29" s="39"/>
      <c r="O29" s="39"/>
      <c r="P29" s="39"/>
      <c r="Q29" s="39"/>
      <c r="R29" s="39"/>
      <c r="S29" s="39"/>
      <c r="T29" s="39"/>
      <c r="U29" s="39"/>
      <c r="V29" s="39"/>
      <c r="W29" s="39"/>
      <c r="X29" s="39"/>
      <c r="Y29" s="2"/>
      <c r="Z29" s="2"/>
    </row>
    <row r="30" spans="1:26" ht="12.75" customHeight="1" x14ac:dyDescent="0.2">
      <c r="A30" s="2"/>
      <c r="B30" s="42" t="s">
        <v>43</v>
      </c>
      <c r="C30" s="43"/>
      <c r="D30" s="43"/>
      <c r="E30" s="43"/>
      <c r="F30" s="43"/>
      <c r="G30" s="43"/>
      <c r="H30" s="3"/>
      <c r="I30" s="44"/>
      <c r="J30" s="44"/>
      <c r="K30" s="44"/>
      <c r="L30" s="44"/>
      <c r="M30" s="45">
        <f>IF(ISERROR(AVERAGE(M24:M28)),"NA",AVERAGE(M24:M28))</f>
        <v>1</v>
      </c>
      <c r="N30" s="45">
        <f>IF(ISERROR(AVERAGE(N24:N28)),"NA",AVERAGE(N24:N28))</f>
        <v>0.68513760087308528</v>
      </c>
      <c r="O30" s="45">
        <f>IF(ISERROR(AVERAGE(O24:O28)),"NA",AVERAGE(O24:O28))</f>
        <v>0.68513760087308528</v>
      </c>
      <c r="P30" s="45">
        <f>IF(ISERROR(AVERAGE(P24:P28)),"NA",AVERAGE(P24:P28))</f>
        <v>0.56803976543295698</v>
      </c>
      <c r="Q30" s="45"/>
      <c r="R30" s="45">
        <f t="shared" ref="R30:X30" si="2">+AVERAGE(R24:R28)</f>
        <v>9.770875179300087E-2</v>
      </c>
      <c r="S30" s="45">
        <f t="shared" si="2"/>
        <v>8.1655031451413548E-2</v>
      </c>
      <c r="T30" s="45">
        <f t="shared" si="2"/>
        <v>9.8035489469918732E-2</v>
      </c>
      <c r="U30" s="45">
        <f t="shared" si="2"/>
        <v>8.165503145141359E-2</v>
      </c>
      <c r="V30" s="45">
        <f t="shared" si="2"/>
        <v>9.2446582053388654E-2</v>
      </c>
      <c r="W30" s="45">
        <f t="shared" si="2"/>
        <v>-0.17106844373693636</v>
      </c>
      <c r="X30" s="45">
        <f t="shared" si="2"/>
        <v>6.6957125790159111E-2</v>
      </c>
      <c r="Y30" s="2"/>
      <c r="Z30" s="2"/>
    </row>
    <row r="31" spans="1:26" ht="12.75" customHeight="1" x14ac:dyDescent="0.2">
      <c r="A31" s="2"/>
      <c r="B31" s="42" t="s">
        <v>44</v>
      </c>
      <c r="C31" s="43"/>
      <c r="D31" s="43"/>
      <c r="E31" s="43"/>
      <c r="F31" s="43"/>
      <c r="G31" s="43"/>
      <c r="H31" s="3"/>
      <c r="I31" s="44"/>
      <c r="J31" s="44"/>
      <c r="K31" s="44"/>
      <c r="L31" s="44"/>
      <c r="M31" s="45">
        <f>IF(ISERROR(MEDIAN(M24:M28)),"NA",MEDIAN(M24:M28))</f>
        <v>1</v>
      </c>
      <c r="N31" s="45">
        <f>IF(ISERROR(MEDIAN(N24:N28)),"NA",MEDIAN(N24:N28))</f>
        <v>0.69222536517070954</v>
      </c>
      <c r="O31" s="45">
        <f>IF(ISERROR(MEDIAN(O24:O28)),"NA",MEDIAN(O24:O28))</f>
        <v>0.69222536517070954</v>
      </c>
      <c r="P31" s="45">
        <f>IF(ISERROR(MEDIAN(P24:P28)),"NA",MEDIAN(P24:P28))</f>
        <v>0.56096551964512098</v>
      </c>
      <c r="Q31" s="45"/>
      <c r="R31" s="45">
        <f t="shared" ref="R31:X31" si="3">MEDIAN(R24:R28)</f>
        <v>6.5757448450245448E-2</v>
      </c>
      <c r="S31" s="45">
        <f t="shared" si="3"/>
        <v>8.6735437729643428E-2</v>
      </c>
      <c r="T31" s="45">
        <f t="shared" si="3"/>
        <v>3.6457710063984683E-2</v>
      </c>
      <c r="U31" s="45">
        <f t="shared" si="3"/>
        <v>8.6735437729643428E-2</v>
      </c>
      <c r="V31" s="45">
        <f t="shared" si="3"/>
        <v>3.2936314877916706E-2</v>
      </c>
      <c r="W31" s="45">
        <f t="shared" si="3"/>
        <v>-0.15259762530762477</v>
      </c>
      <c r="X31" s="45">
        <f t="shared" si="3"/>
        <v>7.1123058938307657E-2</v>
      </c>
      <c r="Y31" s="2"/>
      <c r="Z31" s="2"/>
    </row>
    <row r="32" spans="1:26" ht="12.75" customHeight="1" x14ac:dyDescent="0.2">
      <c r="A32" s="2"/>
      <c r="B32" s="46"/>
      <c r="C32" s="47"/>
      <c r="D32" s="47"/>
      <c r="E32" s="47"/>
      <c r="F32" s="47"/>
      <c r="G32" s="47"/>
      <c r="H32" s="28"/>
      <c r="I32" s="48"/>
      <c r="J32" s="48"/>
      <c r="K32" s="48"/>
      <c r="L32" s="48"/>
      <c r="M32" s="33"/>
      <c r="N32" s="33"/>
      <c r="O32" s="33"/>
      <c r="P32" s="33"/>
      <c r="Q32" s="33"/>
      <c r="R32" s="33"/>
      <c r="S32" s="33"/>
      <c r="T32" s="33"/>
      <c r="U32" s="33"/>
      <c r="V32" s="33"/>
      <c r="W32" s="33"/>
      <c r="X32" s="33"/>
      <c r="Y32" s="2"/>
      <c r="Z32" s="2"/>
    </row>
    <row r="33" spans="1:26" ht="15" customHeight="1" x14ac:dyDescent="0.2">
      <c r="A33" s="2"/>
      <c r="B33" s="265" t="s">
        <v>46</v>
      </c>
      <c r="C33" s="263"/>
      <c r="D33" s="263"/>
      <c r="E33" s="263"/>
      <c r="F33" s="263"/>
      <c r="G33" s="263"/>
      <c r="H33" s="263"/>
      <c r="I33" s="263"/>
      <c r="J33" s="263"/>
      <c r="K33" s="263"/>
      <c r="L33" s="263"/>
      <c r="M33" s="263"/>
      <c r="N33" s="263"/>
      <c r="O33" s="263"/>
      <c r="P33" s="263"/>
      <c r="Q33" s="263"/>
      <c r="R33" s="263"/>
      <c r="S33" s="263"/>
      <c r="T33" s="263"/>
      <c r="U33" s="263"/>
      <c r="V33" s="263"/>
      <c r="W33" s="263"/>
      <c r="X33" s="263"/>
      <c r="Y33" s="2"/>
      <c r="Z33" s="2"/>
    </row>
    <row r="34" spans="1:26" ht="12.75" customHeight="1" x14ac:dyDescent="0.2">
      <c r="A34" s="2"/>
      <c r="B34" s="2" t="str">
        <f>'CompCo 11'!$E$7</f>
        <v>Ngân hàng Thương mại Cổ phần Ngoại thương Việt Nam</v>
      </c>
      <c r="C34" s="2" t="str">
        <f>'CompCo 11'!$E$8</f>
        <v>VCB</v>
      </c>
      <c r="D34" s="38">
        <f>'CompCo 11'!$E$24</f>
        <v>515545153.29980004</v>
      </c>
      <c r="E34" s="38">
        <f>'CompCo 11'!$E$30</f>
        <v>515565430.29980004</v>
      </c>
      <c r="F34" s="38"/>
      <c r="G34" s="38">
        <f>'CompCo 11'!$N$10</f>
        <v>72454622</v>
      </c>
      <c r="H34" s="38">
        <f>'CompCo 11'!$N$31</f>
        <v>72454622</v>
      </c>
      <c r="I34" s="38">
        <f>'CompCo 11'!$N$40</f>
        <v>0</v>
      </c>
      <c r="J34" s="38">
        <f>'CompCo 11'!$N$37</f>
        <v>47211823</v>
      </c>
      <c r="K34" s="38">
        <f>'CompCo 11'!$N$49</f>
        <v>38369849</v>
      </c>
      <c r="L34" s="36"/>
      <c r="M34" s="39">
        <f>'CompCo 11'!$N$32</f>
        <v>1</v>
      </c>
      <c r="N34" s="39">
        <f>'CompCo 11'!$N$42</f>
        <v>0.65160540068789541</v>
      </c>
      <c r="O34" s="39">
        <f>'CompCo 11'!$N$38</f>
        <v>0.65160540068789541</v>
      </c>
      <c r="P34" s="39">
        <f>'CompCo 11'!$N$50</f>
        <v>0.52957075671445775</v>
      </c>
      <c r="Q34" s="39"/>
      <c r="R34" s="39">
        <f>'CompCo 11'!$C$61</f>
        <v>5.6521012067689558E-2</v>
      </c>
      <c r="S34" s="39">
        <f>'CompCo 11'!$C$64</f>
        <v>4.6539719527424417E-2</v>
      </c>
      <c r="T34" s="39">
        <f>'CompCo 11'!$D$61</f>
        <v>3.6457710063984683E-2</v>
      </c>
      <c r="U34" s="39">
        <f>'CompCo 11'!$D$64</f>
        <v>4.6539719527424639E-2</v>
      </c>
      <c r="V34" s="39">
        <f>'CompCo 11'!$E$61</f>
        <v>3.2936314877916706E-2</v>
      </c>
      <c r="W34" s="39">
        <f>'CompCo 11'!$E$64</f>
        <v>-0.12166764637450156</v>
      </c>
      <c r="X34" s="39">
        <f>'CompCo 11'!$E$66</f>
        <v>3.8162570012487927E-2</v>
      </c>
      <c r="Y34" s="2"/>
      <c r="Z34" s="2"/>
    </row>
    <row r="35" spans="1:26" ht="12.75" customHeight="1" x14ac:dyDescent="0.2">
      <c r="A35" s="2"/>
      <c r="B35" s="2" t="str">
        <f>'CompCo 12'!$E$7</f>
        <v>Ngân hàng Thương mại Cổ phần Công thương Việt Nam</v>
      </c>
      <c r="C35" s="2" t="str">
        <f>'CompCo 12'!$E$8</f>
        <v>CTG</v>
      </c>
      <c r="D35" s="41">
        <f>'CompCo 12'!$E$24</f>
        <v>260192645.33949998</v>
      </c>
      <c r="E35" s="41">
        <f>'CompCo 12'!$E$30</f>
        <v>260459430.33949998</v>
      </c>
      <c r="F35" s="41"/>
      <c r="G35" s="41">
        <f>'CompCo 12'!$N$10</f>
        <v>87294789</v>
      </c>
      <c r="H35" s="41">
        <f>'CompCo 12'!$N$31</f>
        <v>87294789</v>
      </c>
      <c r="I35" s="41">
        <f>'CompCo 12'!$N$40</f>
        <v>0</v>
      </c>
      <c r="J35" s="41">
        <f>'CompCo 12'!$N$37</f>
        <v>60741865</v>
      </c>
      <c r="K35" s="41">
        <f>'CompCo 12'!$N$49</f>
        <v>51902537</v>
      </c>
      <c r="L35" s="36"/>
      <c r="M35" s="39">
        <f>'CompCo 12'!$N$32</f>
        <v>1</v>
      </c>
      <c r="N35" s="39">
        <f>'CompCo 12'!$N$42</f>
        <v>0.69582463851307319</v>
      </c>
      <c r="O35" s="39">
        <f>'CompCo 12'!$N$38</f>
        <v>0.69582463851307319</v>
      </c>
      <c r="P35" s="39">
        <f>'CompCo 12'!$N$50</f>
        <v>0.59456626901291898</v>
      </c>
      <c r="Q35" s="39"/>
      <c r="R35" s="39">
        <f>'CompCo 12'!$C$61</f>
        <v>6.5757448450245448E-2</v>
      </c>
      <c r="S35" s="39">
        <f>'CompCo 12'!$C$64</f>
        <v>8.6735437729643428E-2</v>
      </c>
      <c r="T35" s="39">
        <f>'CompCo 12'!$D$61</f>
        <v>2.32319241792589E-2</v>
      </c>
      <c r="U35" s="39">
        <f>'CompCo 12'!$D$64</f>
        <v>8.6735437729643428E-2</v>
      </c>
      <c r="V35" s="39">
        <f>'CompCo 12'!$E$61</f>
        <v>-1.972739025808512E-2</v>
      </c>
      <c r="W35" s="39">
        <f>'CompCo 12'!$E$64</f>
        <v>-0.275508723581115</v>
      </c>
      <c r="X35" s="39">
        <f>'CompCo 12'!$E$66</f>
        <v>7.1123058938307657E-2</v>
      </c>
      <c r="Y35" s="2"/>
      <c r="Z35" s="2"/>
    </row>
    <row r="36" spans="1:26" ht="12.75" customHeight="1" x14ac:dyDescent="0.2">
      <c r="A36" s="2"/>
      <c r="B36" s="2" t="str">
        <f>'CompCo 13'!$E$7</f>
        <v>Ngân hàng Thương mại Cổ phần Quân đội</v>
      </c>
      <c r="C36" s="2" t="str">
        <f>'CompCo 13'!$E$8</f>
        <v>MBB</v>
      </c>
      <c r="D36" s="41">
        <f>'CompCo 13'!$E$24</f>
        <v>198958497.75229999</v>
      </c>
      <c r="E36" s="41">
        <f>'CompCo 13'!$E$30</f>
        <v>199562536.75229999</v>
      </c>
      <c r="F36" s="41"/>
      <c r="G36" s="41">
        <f>'CompCo 13'!$N$10</f>
        <v>67693015</v>
      </c>
      <c r="H36" s="41">
        <f>'CompCo 13'!$N$31</f>
        <v>67693015</v>
      </c>
      <c r="I36" s="41">
        <f>'CompCo 13'!$N$40</f>
        <v>0</v>
      </c>
      <c r="J36" s="41">
        <f>'CompCo 13'!$N$37</f>
        <v>48011862</v>
      </c>
      <c r="K36" s="41">
        <f>'CompCo 13'!$N$49</f>
        <v>40522443</v>
      </c>
      <c r="L36" s="36"/>
      <c r="M36" s="39">
        <f>'CompCo 13'!$N$32</f>
        <v>1</v>
      </c>
      <c r="N36" s="39">
        <f>'CompCo 13'!$N$42</f>
        <v>0.70925873223404212</v>
      </c>
      <c r="O36" s="39">
        <f>'CompCo 13'!$N$38</f>
        <v>0.70925873223404212</v>
      </c>
      <c r="P36" s="39">
        <f>'CompCo 13'!$N$50</f>
        <v>0.59862074395711284</v>
      </c>
      <c r="Q36" s="39"/>
      <c r="R36" s="39">
        <f>'CompCo 13'!$C$61</f>
        <v>0.22160402439692106</v>
      </c>
      <c r="S36" s="39">
        <f>'CompCo 13'!$C$64</f>
        <v>0.12000000000000011</v>
      </c>
      <c r="T36" s="39">
        <f>'CompCo 13'!$D$61</f>
        <v>0.25011448740315689</v>
      </c>
      <c r="U36" s="39">
        <f>'CompCo 13'!$D$64</f>
        <v>0.12000000000000033</v>
      </c>
      <c r="V36" s="39">
        <f>'CompCo 13'!$E$61</f>
        <v>0.25805459547057485</v>
      </c>
      <c r="W36" s="39">
        <f>'CompCo 13'!$E$64</f>
        <v>-0.25974799542278337</v>
      </c>
      <c r="X36" s="39">
        <f>'CompCo 13'!$E$66</f>
        <v>9.8399999999999987E-2</v>
      </c>
      <c r="Y36" s="2"/>
      <c r="Z36" s="2"/>
    </row>
    <row r="37" spans="1:26" ht="12.75" customHeight="1" x14ac:dyDescent="0.2">
      <c r="A37" s="2"/>
      <c r="B37" s="2" t="str">
        <f>'CompCo 14'!$E$7</f>
        <v>Ngân hàng Thương mại Cổ phần Kỹ thương Việt Nam</v>
      </c>
      <c r="C37" s="2" t="str">
        <f>'CompCo 14'!$E$8</f>
        <v>TCB</v>
      </c>
      <c r="D37" s="41">
        <f>'CompCo 14'!$E$24</f>
        <v>219319140.81329998</v>
      </c>
      <c r="E37" s="41">
        <f>'CompCo 14'!$E$30</f>
        <v>219983382.81329998</v>
      </c>
      <c r="F37" s="41"/>
      <c r="G37" s="41">
        <f>'CompCo 14'!$N$10</f>
        <v>53391125</v>
      </c>
      <c r="H37" s="41">
        <f>'CompCo 14'!$N$31</f>
        <v>53391125</v>
      </c>
      <c r="I37" s="41">
        <f>'CompCo 14'!$N$40</f>
        <v>0</v>
      </c>
      <c r="J37" s="41">
        <f>'CompCo 14'!$N$37</f>
        <v>36958691</v>
      </c>
      <c r="K37" s="41">
        <f>'CompCo 14'!$N$49</f>
        <v>29710855</v>
      </c>
      <c r="L37" s="36"/>
      <c r="M37" s="39">
        <f>'CompCo 14'!$N$32</f>
        <v>1</v>
      </c>
      <c r="N37" s="39">
        <f>'CompCo 14'!$N$42</f>
        <v>0.69222536517070954</v>
      </c>
      <c r="O37" s="39">
        <f>'CompCo 14'!$N$38</f>
        <v>0.69222536517070954</v>
      </c>
      <c r="P37" s="39">
        <f>'CompCo 14'!$N$50</f>
        <v>0.55647553783517389</v>
      </c>
      <c r="Q37" s="39"/>
      <c r="R37" s="39">
        <f>'CompCo 14'!$C$61</f>
        <v>0.13621353316082851</v>
      </c>
      <c r="S37" s="39">
        <f>'CompCo 14'!$C$64</f>
        <v>0.12000000000000011</v>
      </c>
      <c r="T37" s="39">
        <f>'CompCo 14'!$D$61</f>
        <v>0.16881458712028241</v>
      </c>
      <c r="U37" s="39">
        <f>'CompCo 14'!$D$64</f>
        <v>0.12000000000000011</v>
      </c>
      <c r="V37" s="39">
        <f>'CompCo 14'!$E$61</f>
        <v>0.16034358147724692</v>
      </c>
      <c r="W37" s="39">
        <f>'CompCo 14'!$E$64</f>
        <v>-4.5820227998657037E-2</v>
      </c>
      <c r="X37" s="39">
        <f>'CompCo 14'!$E$66</f>
        <v>9.8399999999999987E-2</v>
      </c>
      <c r="Y37" s="2"/>
      <c r="Z37" s="2"/>
    </row>
    <row r="38" spans="1:26" ht="12.75" customHeight="1" x14ac:dyDescent="0.2">
      <c r="A38" s="2" t="s">
        <v>47</v>
      </c>
      <c r="B38" s="2" t="str">
        <f>'CompCo 15'!$E$7</f>
        <v>Ngân hàng Thương mại Cổ phần Á Châu</v>
      </c>
      <c r="C38" s="2" t="str">
        <f>'CompCo 15'!$E$8</f>
        <v>ACB</v>
      </c>
      <c r="D38" s="41">
        <f>'CompCo 15'!$E$24</f>
        <v>136121399.87349999</v>
      </c>
      <c r="E38" s="41">
        <f>'CompCo 15'!$E$30</f>
        <v>136121399.87349999</v>
      </c>
      <c r="F38" s="41"/>
      <c r="G38" s="41">
        <f>'CompCo 15'!$N$10</f>
        <v>33797883</v>
      </c>
      <c r="H38" s="41">
        <f>'CompCo 15'!$N$31</f>
        <v>33797883</v>
      </c>
      <c r="I38" s="41">
        <f>'CompCo 15'!$N$40</f>
        <v>0</v>
      </c>
      <c r="J38" s="41">
        <f>'CompCo 15'!$N$37</f>
        <v>22873524</v>
      </c>
      <c r="K38" s="41">
        <f>'CompCo 15'!$N$49</f>
        <v>18959447</v>
      </c>
      <c r="L38" s="36"/>
      <c r="M38" s="39">
        <f>'CompCo 15'!$N$32</f>
        <v>1</v>
      </c>
      <c r="N38" s="39">
        <f>'CompCo 15'!$N$42</f>
        <v>0.67677386775970549</v>
      </c>
      <c r="O38" s="39">
        <f>'CompCo 15'!$N$38</f>
        <v>0.67677386775970549</v>
      </c>
      <c r="P38" s="39">
        <f>'CompCo 15'!$N$50</f>
        <v>0.56096551964512098</v>
      </c>
      <c r="Q38" s="39"/>
      <c r="R38" s="39">
        <f>'CompCo 15'!$C$61</f>
        <v>8.4477408893197659E-3</v>
      </c>
      <c r="S38" s="39">
        <f>'CompCo 15'!$C$64</f>
        <v>3.4999999999999698E-2</v>
      </c>
      <c r="T38" s="39">
        <f>'CompCo 15'!$D$61</f>
        <v>1.1558738582910788E-2</v>
      </c>
      <c r="U38" s="39">
        <f>'CompCo 15'!$D$64</f>
        <v>3.4999999999999476E-2</v>
      </c>
      <c r="V38" s="39">
        <f>'CompCo 15'!$E$61</f>
        <v>3.062580869928988E-2</v>
      </c>
      <c r="W38" s="39">
        <f>'CompCo 15'!$E$64</f>
        <v>-0.15259762530762477</v>
      </c>
      <c r="X38" s="39">
        <f>'CompCo 15'!$E$66</f>
        <v>2.87E-2</v>
      </c>
      <c r="Y38" s="2"/>
      <c r="Z38" s="2"/>
    </row>
    <row r="39" spans="1:26" ht="12.75" customHeight="1" x14ac:dyDescent="0.2">
      <c r="A39" s="2"/>
      <c r="B39" s="2"/>
      <c r="C39" s="2"/>
      <c r="D39" s="35"/>
      <c r="E39" s="35"/>
      <c r="F39" s="35"/>
      <c r="G39" s="35"/>
      <c r="H39" s="35"/>
      <c r="I39" s="35"/>
      <c r="J39" s="35"/>
      <c r="K39" s="35"/>
      <c r="L39" s="36"/>
      <c r="M39" s="39"/>
      <c r="N39" s="39"/>
      <c r="O39" s="39"/>
      <c r="P39" s="39"/>
      <c r="Q39" s="39"/>
      <c r="R39" s="39"/>
      <c r="S39" s="39"/>
      <c r="T39" s="39"/>
      <c r="U39" s="39"/>
      <c r="V39" s="39"/>
      <c r="W39" s="39"/>
      <c r="X39" s="39"/>
      <c r="Y39" s="2"/>
      <c r="Z39" s="2"/>
    </row>
    <row r="40" spans="1:26" ht="12.75" customHeight="1" x14ac:dyDescent="0.2">
      <c r="A40" s="2"/>
      <c r="B40" s="42" t="s">
        <v>43</v>
      </c>
      <c r="C40" s="43"/>
      <c r="D40" s="3"/>
      <c r="E40" s="44"/>
      <c r="F40" s="43"/>
      <c r="G40" s="43"/>
      <c r="H40" s="3"/>
      <c r="I40" s="44"/>
      <c r="J40" s="44"/>
      <c r="K40" s="44"/>
      <c r="L40" s="44"/>
      <c r="M40" s="45">
        <f>IF(ISERROR(AVERAGE(M34:M38)),"NA",AVERAGE(M34:M38))</f>
        <v>1</v>
      </c>
      <c r="N40" s="45">
        <f>IF(ISERROR(AVERAGE(N34:N38)),"NA",AVERAGE(N34:N38))</f>
        <v>0.68513760087308528</v>
      </c>
      <c r="O40" s="45">
        <f>IF(ISERROR(AVERAGE(O34:O38)),"NA",AVERAGE(O34:O38))</f>
        <v>0.68513760087308528</v>
      </c>
      <c r="P40" s="45">
        <f>IF(ISERROR(AVERAGE(P34:P38)),"NA",AVERAGE(P34:P38))</f>
        <v>0.56803976543295698</v>
      </c>
      <c r="Q40" s="45"/>
      <c r="R40" s="45">
        <f t="shared" ref="R40:X40" si="4">+AVERAGE(R34:R38)</f>
        <v>9.770875179300087E-2</v>
      </c>
      <c r="S40" s="45">
        <f t="shared" si="4"/>
        <v>8.1655031451413548E-2</v>
      </c>
      <c r="T40" s="45">
        <f t="shared" si="4"/>
        <v>9.8035489469918732E-2</v>
      </c>
      <c r="U40" s="45">
        <f t="shared" si="4"/>
        <v>8.165503145141359E-2</v>
      </c>
      <c r="V40" s="45">
        <f t="shared" si="4"/>
        <v>9.2446582053388654E-2</v>
      </c>
      <c r="W40" s="45">
        <f t="shared" si="4"/>
        <v>-0.17106844373693636</v>
      </c>
      <c r="X40" s="45">
        <f t="shared" si="4"/>
        <v>6.6957125790159111E-2</v>
      </c>
      <c r="Y40" s="2"/>
      <c r="Z40" s="2"/>
    </row>
    <row r="41" spans="1:26" ht="12.75" customHeight="1" x14ac:dyDescent="0.2">
      <c r="A41" s="2"/>
      <c r="B41" s="42" t="s">
        <v>44</v>
      </c>
      <c r="C41" s="43"/>
      <c r="D41" s="3"/>
      <c r="E41" s="44"/>
      <c r="F41" s="43"/>
      <c r="G41" s="43"/>
      <c r="H41" s="3"/>
      <c r="I41" s="44"/>
      <c r="J41" s="44"/>
      <c r="K41" s="44"/>
      <c r="L41" s="44"/>
      <c r="M41" s="45">
        <f>IF(ISERROR(MEDIAN(M34:M38)),"NA",MEDIAN(M34:M38))</f>
        <v>1</v>
      </c>
      <c r="N41" s="45">
        <f>IF(ISERROR(MEDIAN(N34:N38)),"NA",MEDIAN(N34:N38))</f>
        <v>0.69222536517070954</v>
      </c>
      <c r="O41" s="45">
        <f>IF(ISERROR(MEDIAN(O34:O38)),"NA",MEDIAN(O34:O38))</f>
        <v>0.69222536517070954</v>
      </c>
      <c r="P41" s="45">
        <f>IF(ISERROR(MEDIAN(P34:P38)),"NA",MEDIAN(P34:P38))</f>
        <v>0.56096551964512098</v>
      </c>
      <c r="Q41" s="45"/>
      <c r="R41" s="45">
        <f t="shared" ref="R41:X41" si="5">MEDIAN(R34:R38)</f>
        <v>6.5757448450245448E-2</v>
      </c>
      <c r="S41" s="45">
        <f t="shared" si="5"/>
        <v>8.6735437729643428E-2</v>
      </c>
      <c r="T41" s="45">
        <f t="shared" si="5"/>
        <v>3.6457710063984683E-2</v>
      </c>
      <c r="U41" s="45">
        <f t="shared" si="5"/>
        <v>8.6735437729643428E-2</v>
      </c>
      <c r="V41" s="45">
        <f t="shared" si="5"/>
        <v>3.2936314877916706E-2</v>
      </c>
      <c r="W41" s="45">
        <f t="shared" si="5"/>
        <v>-0.15259762530762477</v>
      </c>
      <c r="X41" s="45">
        <f t="shared" si="5"/>
        <v>7.1123058938307657E-2</v>
      </c>
      <c r="Y41" s="2"/>
      <c r="Z41" s="2"/>
    </row>
    <row r="42" spans="1:26" ht="12.75" customHeight="1" x14ac:dyDescent="0.2">
      <c r="A42" s="2"/>
      <c r="B42" s="46"/>
      <c r="C42" s="47"/>
      <c r="D42" s="28"/>
      <c r="E42" s="48"/>
      <c r="F42" s="47"/>
      <c r="G42" s="47"/>
      <c r="H42" s="28"/>
      <c r="I42" s="48"/>
      <c r="J42" s="48"/>
      <c r="K42" s="48"/>
      <c r="L42" s="48"/>
      <c r="M42" s="33"/>
      <c r="N42" s="33"/>
      <c r="O42" s="33"/>
      <c r="P42" s="33"/>
      <c r="Q42" s="33"/>
      <c r="R42" s="33"/>
      <c r="S42" s="33"/>
      <c r="T42" s="33"/>
      <c r="U42" s="33"/>
      <c r="V42" s="33"/>
      <c r="W42" s="33"/>
      <c r="X42" s="33"/>
      <c r="Y42" s="2"/>
      <c r="Z42" s="2"/>
    </row>
    <row r="43" spans="1:26" ht="15" customHeight="1" x14ac:dyDescent="0.2">
      <c r="A43" s="2"/>
      <c r="B43" s="265" t="s">
        <v>48</v>
      </c>
      <c r="C43" s="263"/>
      <c r="D43" s="263"/>
      <c r="E43" s="263"/>
      <c r="F43" s="263"/>
      <c r="G43" s="263"/>
      <c r="H43" s="263"/>
      <c r="I43" s="263"/>
      <c r="J43" s="263"/>
      <c r="K43" s="263"/>
      <c r="L43" s="263"/>
      <c r="M43" s="263"/>
      <c r="N43" s="263"/>
      <c r="O43" s="263"/>
      <c r="P43" s="263"/>
      <c r="Q43" s="263"/>
      <c r="R43" s="263"/>
      <c r="S43" s="263"/>
      <c r="T43" s="263"/>
      <c r="U43" s="263"/>
      <c r="V43" s="263"/>
      <c r="W43" s="263"/>
      <c r="X43" s="263"/>
      <c r="Y43" s="30"/>
      <c r="Z43" s="2"/>
    </row>
    <row r="44" spans="1:26" ht="12.75" customHeight="1" x14ac:dyDescent="0.2">
      <c r="A44" s="2"/>
      <c r="B44" s="2"/>
      <c r="C44" s="2"/>
      <c r="D44" s="49"/>
      <c r="E44" s="46"/>
      <c r="F44" s="47"/>
      <c r="G44" s="47"/>
      <c r="H44" s="28"/>
      <c r="I44" s="48"/>
      <c r="J44" s="48"/>
      <c r="K44" s="48"/>
      <c r="L44" s="48"/>
      <c r="M44" s="33"/>
      <c r="N44" s="33"/>
      <c r="O44" s="33"/>
      <c r="P44" s="33"/>
      <c r="Q44" s="33"/>
      <c r="R44" s="33"/>
      <c r="S44" s="33"/>
      <c r="T44" s="33"/>
      <c r="U44" s="33"/>
      <c r="V44" s="33"/>
      <c r="W44" s="33"/>
      <c r="X44" s="33"/>
      <c r="Y44" s="2"/>
      <c r="Z44" s="2"/>
    </row>
    <row r="45" spans="1:26" ht="12.75" customHeight="1" x14ac:dyDescent="0.2">
      <c r="A45" s="2"/>
      <c r="B45" s="42" t="s">
        <v>43</v>
      </c>
      <c r="C45" s="43"/>
      <c r="D45" s="43"/>
      <c r="E45" s="43"/>
      <c r="F45" s="43"/>
      <c r="G45" s="43"/>
      <c r="H45" s="3"/>
      <c r="I45" s="44"/>
      <c r="J45" s="44"/>
      <c r="K45" s="44"/>
      <c r="L45" s="44"/>
      <c r="M45" s="45">
        <f>IF(ISERROR(AVERAGE(M24:M28,M14:M18,M34:M38)),"NA",AVERAGE(M24:M28,M14:M18,M34:M38))</f>
        <v>1</v>
      </c>
      <c r="N45" s="45">
        <f>IF(ISERROR(AVERAGE(N24:N28,N14:N18,N34:N38)),"NA",AVERAGE(N24:N28,N14:N18,N34:N38))</f>
        <v>0.68513760087308528</v>
      </c>
      <c r="O45" s="45">
        <f>IF(ISERROR(AVERAGE(O24:O28,O14:O18,O34:O38)),"NA",AVERAGE(O24:O28,O14:O18,O34:O38))</f>
        <v>0.68513760087308528</v>
      </c>
      <c r="P45" s="45">
        <f>IF(ISERROR(AVERAGE(P24:P28,P14:P18,P34:P38)),"NA",AVERAGE(P24:P28,P14:P18,P34:P38))</f>
        <v>0.56803976543295687</v>
      </c>
      <c r="Q45" s="45"/>
      <c r="R45" s="45">
        <f t="shared" ref="R45:X45" si="6">+AVERAGE(R24:R28,R14:R18,R34:R38)</f>
        <v>9.770875179300087E-2</v>
      </c>
      <c r="S45" s="45">
        <f t="shared" si="6"/>
        <v>8.1655031451413548E-2</v>
      </c>
      <c r="T45" s="45">
        <f t="shared" si="6"/>
        <v>9.8035489469918732E-2</v>
      </c>
      <c r="U45" s="45">
        <f t="shared" si="6"/>
        <v>8.165503145141359E-2</v>
      </c>
      <c r="V45" s="45">
        <f t="shared" si="6"/>
        <v>9.244658205338864E-2</v>
      </c>
      <c r="W45" s="45">
        <f t="shared" si="6"/>
        <v>-0.17106844373693636</v>
      </c>
      <c r="X45" s="45">
        <f t="shared" si="6"/>
        <v>6.6957125790159111E-2</v>
      </c>
      <c r="Y45" s="2"/>
      <c r="Z45" s="2"/>
    </row>
    <row r="46" spans="1:26" ht="12.75" customHeight="1" x14ac:dyDescent="0.2">
      <c r="A46" s="2"/>
      <c r="B46" s="42" t="s">
        <v>44</v>
      </c>
      <c r="C46" s="43"/>
      <c r="D46" s="43"/>
      <c r="E46" s="43"/>
      <c r="F46" s="43"/>
      <c r="G46" s="43"/>
      <c r="H46" s="3"/>
      <c r="I46" s="44"/>
      <c r="J46" s="44"/>
      <c r="K46" s="44"/>
      <c r="L46" s="44"/>
      <c r="M46" s="45">
        <f>IF(ISERROR(MEDIAN(M24:M28,M14:M18,M34:M38)),"NA",MEDIAN(M24:M28,M14:M18,M34:M38))</f>
        <v>1</v>
      </c>
      <c r="N46" s="45">
        <f>IF(ISERROR(MEDIAN(N24:N28,N14:N18,N34:N38)),"NA",MEDIAN(N24:N28,N14:N18,N34:N38))</f>
        <v>0.69222536517070954</v>
      </c>
      <c r="O46" s="45">
        <f>IF(ISERROR(MEDIAN(O24:O28,O14:O18,O34:O38)),"NA",MEDIAN(O24:O28,O14:O18,O34:O38))</f>
        <v>0.69222536517070954</v>
      </c>
      <c r="P46" s="45">
        <f>IF(ISERROR(MEDIAN(P24:P28,P14:P18,P34:P38)),"NA",MEDIAN(P24:P28,P14:P18,P34:P38))</f>
        <v>0.56096551964512098</v>
      </c>
      <c r="Q46" s="45"/>
      <c r="R46" s="45">
        <f t="shared" ref="R46:X46" si="7">MEDIAN(R24:R28,R14:R18,R34:R38)</f>
        <v>6.5757448450245448E-2</v>
      </c>
      <c r="S46" s="45">
        <f t="shared" si="7"/>
        <v>8.6735437729643428E-2</v>
      </c>
      <c r="T46" s="45">
        <f t="shared" si="7"/>
        <v>3.6457710063984683E-2</v>
      </c>
      <c r="U46" s="45">
        <f t="shared" si="7"/>
        <v>8.6735437729643428E-2</v>
      </c>
      <c r="V46" s="45">
        <f t="shared" si="7"/>
        <v>3.2936314877916706E-2</v>
      </c>
      <c r="W46" s="45">
        <f t="shared" si="7"/>
        <v>-0.15259762530762477</v>
      </c>
      <c r="X46" s="45">
        <f t="shared" si="7"/>
        <v>7.1123058938307657E-2</v>
      </c>
      <c r="Y46" s="2"/>
      <c r="Z46" s="2"/>
    </row>
    <row r="47" spans="1:26" ht="12.75" customHeight="1" x14ac:dyDescent="0.2">
      <c r="A47" s="2"/>
      <c r="B47" s="46"/>
      <c r="C47" s="47"/>
      <c r="D47" s="47"/>
      <c r="E47" s="47"/>
      <c r="F47" s="47"/>
      <c r="G47" s="47"/>
      <c r="H47" s="28"/>
      <c r="I47" s="48"/>
      <c r="J47" s="48"/>
      <c r="K47" s="48"/>
      <c r="L47" s="48"/>
      <c r="M47" s="33"/>
      <c r="N47" s="33"/>
      <c r="O47" s="33"/>
      <c r="P47" s="33"/>
      <c r="Q47" s="33"/>
      <c r="R47" s="33"/>
      <c r="S47" s="33"/>
      <c r="T47" s="33"/>
      <c r="U47" s="33"/>
      <c r="V47" s="33"/>
      <c r="W47" s="33"/>
      <c r="X47" s="33"/>
      <c r="Y47" s="2"/>
      <c r="Z47" s="2"/>
    </row>
    <row r="48" spans="1:26" ht="12.75" customHeight="1" x14ac:dyDescent="0.2">
      <c r="A48" s="2"/>
      <c r="B48" s="42" t="s">
        <v>49</v>
      </c>
      <c r="C48" s="43"/>
      <c r="D48" s="43"/>
      <c r="E48" s="43"/>
      <c r="F48" s="43"/>
      <c r="G48" s="43"/>
      <c r="H48" s="3"/>
      <c r="I48" s="44"/>
      <c r="J48" s="44"/>
      <c r="K48" s="44"/>
      <c r="L48" s="44"/>
      <c r="M48" s="45">
        <f t="shared" ref="M48:X48" si="8">MAX(M24:M28,M14:M18,M34:M38)</f>
        <v>1</v>
      </c>
      <c r="N48" s="45">
        <f t="shared" si="8"/>
        <v>0.70925873223404212</v>
      </c>
      <c r="O48" s="45">
        <f t="shared" si="8"/>
        <v>0.70925873223404212</v>
      </c>
      <c r="P48" s="45">
        <f t="shared" si="8"/>
        <v>0.59862074395711284</v>
      </c>
      <c r="Q48" s="45">
        <f t="shared" si="8"/>
        <v>0</v>
      </c>
      <c r="R48" s="45">
        <f t="shared" si="8"/>
        <v>0.22160402439692106</v>
      </c>
      <c r="S48" s="45">
        <f t="shared" si="8"/>
        <v>0.12000000000000011</v>
      </c>
      <c r="T48" s="45">
        <f t="shared" si="8"/>
        <v>0.25011448740315689</v>
      </c>
      <c r="U48" s="45">
        <f t="shared" si="8"/>
        <v>0.12000000000000033</v>
      </c>
      <c r="V48" s="45">
        <f t="shared" si="8"/>
        <v>0.25805459547057485</v>
      </c>
      <c r="W48" s="45">
        <f t="shared" si="8"/>
        <v>-4.5820227998657037E-2</v>
      </c>
      <c r="X48" s="45">
        <f t="shared" si="8"/>
        <v>9.8399999999999987E-2</v>
      </c>
      <c r="Y48" s="2"/>
      <c r="Z48" s="2"/>
    </row>
    <row r="49" spans="1:26" ht="12.75" customHeight="1" x14ac:dyDescent="0.2">
      <c r="A49" s="2"/>
      <c r="B49" s="42" t="s">
        <v>50</v>
      </c>
      <c r="C49" s="43"/>
      <c r="D49" s="43"/>
      <c r="E49" s="43"/>
      <c r="F49" s="43"/>
      <c r="G49" s="43"/>
      <c r="H49" s="3"/>
      <c r="I49" s="44"/>
      <c r="J49" s="44"/>
      <c r="K49" s="44"/>
      <c r="L49" s="44"/>
      <c r="M49" s="45">
        <f t="shared" ref="M49:X49" si="9">MIN(M24:M28,M14:M18,M34:M38)</f>
        <v>1</v>
      </c>
      <c r="N49" s="45">
        <f t="shared" si="9"/>
        <v>0.65160540068789541</v>
      </c>
      <c r="O49" s="45">
        <f t="shared" si="9"/>
        <v>0.65160540068789541</v>
      </c>
      <c r="P49" s="45">
        <f t="shared" si="9"/>
        <v>0.52957075671445775</v>
      </c>
      <c r="Q49" s="45">
        <f t="shared" si="9"/>
        <v>0</v>
      </c>
      <c r="R49" s="45">
        <f t="shared" si="9"/>
        <v>8.4477408893197659E-3</v>
      </c>
      <c r="S49" s="45">
        <f t="shared" si="9"/>
        <v>3.4999999999999698E-2</v>
      </c>
      <c r="T49" s="45">
        <f t="shared" si="9"/>
        <v>1.1558738582910788E-2</v>
      </c>
      <c r="U49" s="45">
        <f t="shared" si="9"/>
        <v>3.4999999999999476E-2</v>
      </c>
      <c r="V49" s="45">
        <f t="shared" si="9"/>
        <v>-1.972739025808512E-2</v>
      </c>
      <c r="W49" s="45">
        <f t="shared" si="9"/>
        <v>-0.275508723581115</v>
      </c>
      <c r="X49" s="45">
        <f t="shared" si="9"/>
        <v>2.87E-2</v>
      </c>
      <c r="Y49" s="2"/>
      <c r="Z49" s="2"/>
    </row>
    <row r="50" spans="1:26" ht="12.75" customHeight="1" x14ac:dyDescent="0.2">
      <c r="A50" s="2"/>
      <c r="B50" s="2"/>
      <c r="C50" s="30"/>
      <c r="D50" s="2"/>
      <c r="E50" s="46"/>
      <c r="F50" s="47"/>
      <c r="G50" s="47"/>
      <c r="H50" s="28"/>
      <c r="I50" s="48"/>
      <c r="J50" s="48"/>
      <c r="K50" s="48"/>
      <c r="L50" s="48"/>
      <c r="M50" s="48"/>
      <c r="N50" s="48"/>
      <c r="O50" s="48"/>
      <c r="P50" s="48"/>
      <c r="Q50" s="48"/>
      <c r="R50" s="48"/>
      <c r="S50" s="48"/>
      <c r="T50" s="48"/>
      <c r="U50" s="50"/>
      <c r="V50" s="50"/>
      <c r="W50" s="48"/>
      <c r="X50" s="48"/>
      <c r="Y50" s="2"/>
      <c r="Z50" s="2"/>
    </row>
    <row r="51" spans="1:26" ht="12.75" customHeight="1" x14ac:dyDescent="0.2">
      <c r="A51" s="2"/>
      <c r="B51" s="51" t="s">
        <v>51</v>
      </c>
      <c r="C51" s="51"/>
      <c r="D51" s="52"/>
      <c r="E51" s="51"/>
      <c r="F51" s="53"/>
      <c r="G51" s="54"/>
      <c r="H51" s="54"/>
      <c r="I51" s="54"/>
      <c r="J51" s="55"/>
      <c r="K51" s="56"/>
      <c r="L51" s="57"/>
      <c r="M51" s="58"/>
      <c r="N51" s="2"/>
      <c r="O51" s="58"/>
      <c r="P51" s="58"/>
      <c r="Q51" s="58"/>
      <c r="R51" s="2"/>
      <c r="S51" s="58"/>
      <c r="T51" s="58"/>
      <c r="U51" s="58"/>
      <c r="V51" s="58"/>
      <c r="W51" s="58"/>
      <c r="X51" s="58"/>
      <c r="Y51" s="2"/>
      <c r="Z51" s="2"/>
    </row>
    <row r="52" spans="1:26" ht="12.75" customHeight="1" x14ac:dyDescent="0.2">
      <c r="A52" s="2"/>
      <c r="B52" s="59" t="s">
        <v>52</v>
      </c>
      <c r="C52" s="59"/>
      <c r="D52" s="60"/>
      <c r="E52" s="60"/>
      <c r="F52" s="61"/>
      <c r="G52" s="62"/>
      <c r="H52" s="62"/>
      <c r="I52" s="62"/>
      <c r="J52" s="60"/>
      <c r="K52" s="63"/>
      <c r="L52" s="57"/>
      <c r="M52" s="58"/>
      <c r="N52" s="58"/>
      <c r="O52" s="58"/>
      <c r="P52" s="58"/>
      <c r="Q52" s="58"/>
      <c r="R52" s="58"/>
      <c r="S52" s="58"/>
      <c r="T52" s="58"/>
      <c r="U52" s="58"/>
      <c r="V52" s="58"/>
      <c r="W52" s="58"/>
      <c r="X52" s="58"/>
      <c r="Y52" s="2"/>
      <c r="Z52" s="2"/>
    </row>
    <row r="53" spans="1:26" ht="12.75" customHeight="1" x14ac:dyDescent="0.2">
      <c r="A53" s="2"/>
      <c r="B53" s="60" t="s">
        <v>53</v>
      </c>
      <c r="C53" s="59"/>
      <c r="D53" s="60"/>
      <c r="E53" s="60"/>
      <c r="F53" s="61"/>
      <c r="G53" s="62"/>
      <c r="H53" s="62"/>
      <c r="I53" s="62"/>
      <c r="J53" s="60"/>
      <c r="K53" s="63"/>
      <c r="L53" s="57"/>
      <c r="M53" s="2"/>
      <c r="N53" s="2"/>
      <c r="O53" s="2"/>
      <c r="P53" s="2"/>
      <c r="Q53" s="2"/>
      <c r="R53" s="2"/>
      <c r="S53" s="2"/>
      <c r="T53" s="2"/>
      <c r="U53" s="2"/>
      <c r="V53" s="2"/>
      <c r="W53" s="2"/>
      <c r="X53" s="58"/>
      <c r="Y53" s="2"/>
      <c r="Z53" s="2"/>
    </row>
    <row r="54" spans="1:26" ht="12.75" customHeight="1" x14ac:dyDescent="0.2">
      <c r="A54" s="2"/>
      <c r="B54" s="2"/>
      <c r="C54" s="2"/>
      <c r="D54" s="30"/>
      <c r="E54" s="30"/>
      <c r="F54" s="30"/>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30"/>
      <c r="E55" s="30"/>
      <c r="F55" s="30"/>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30"/>
      <c r="E56" s="30"/>
      <c r="F56" s="30"/>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30"/>
      <c r="E57" s="30"/>
      <c r="F57" s="30"/>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30"/>
      <c r="E58" s="30"/>
      <c r="F58" s="30"/>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30"/>
      <c r="E59" s="30"/>
      <c r="F59" s="30"/>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30"/>
      <c r="E60" s="30"/>
      <c r="F60" s="30"/>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30"/>
      <c r="E61" s="30"/>
      <c r="F61" s="30"/>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30"/>
      <c r="E62" s="30"/>
      <c r="F62" s="30"/>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30"/>
      <c r="E63" s="30"/>
      <c r="F63" s="30"/>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30"/>
      <c r="E64" s="30"/>
      <c r="F64" s="30"/>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30"/>
      <c r="E65" s="30"/>
      <c r="F65" s="30"/>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30"/>
      <c r="E66" s="30"/>
      <c r="F66" s="30"/>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30"/>
      <c r="E67" s="30"/>
      <c r="F67" s="30"/>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30"/>
      <c r="E68" s="30"/>
      <c r="F68" s="30"/>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30"/>
      <c r="E69" s="30"/>
      <c r="F69" s="30"/>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30"/>
      <c r="E70" s="30"/>
      <c r="F70" s="30"/>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30"/>
      <c r="E71" s="30"/>
      <c r="F71" s="30"/>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30"/>
      <c r="E72" s="30"/>
      <c r="F72" s="30"/>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30"/>
      <c r="E73" s="30"/>
      <c r="F73" s="30"/>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30"/>
      <c r="E74" s="30"/>
      <c r="F74" s="30"/>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30"/>
      <c r="E75" s="30"/>
      <c r="F75" s="30"/>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30"/>
      <c r="E76" s="30"/>
      <c r="F76" s="30"/>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30"/>
      <c r="E77" s="30"/>
      <c r="F77" s="30"/>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30"/>
      <c r="E78" s="30"/>
      <c r="F78" s="30"/>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30"/>
      <c r="E79" s="30"/>
      <c r="F79" s="30"/>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30"/>
      <c r="E80" s="30"/>
      <c r="F80" s="30"/>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30"/>
      <c r="E81" s="30"/>
      <c r="F81" s="30"/>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30"/>
      <c r="E82" s="30"/>
      <c r="F82" s="30"/>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30"/>
      <c r="E83" s="30"/>
      <c r="F83" s="30"/>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30"/>
      <c r="E84" s="30"/>
      <c r="F84" s="30"/>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30"/>
      <c r="E85" s="30"/>
      <c r="F85" s="30"/>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30"/>
      <c r="E86" s="30"/>
      <c r="F86" s="30"/>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30"/>
      <c r="E87" s="30"/>
      <c r="F87" s="30"/>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30"/>
      <c r="E88" s="30"/>
      <c r="F88" s="30"/>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30"/>
      <c r="E89" s="30"/>
      <c r="F89" s="30"/>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30"/>
      <c r="E90" s="30"/>
      <c r="F90" s="30"/>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30"/>
      <c r="E91" s="30"/>
      <c r="F91" s="30"/>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30"/>
      <c r="E92" s="30"/>
      <c r="F92" s="30"/>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30"/>
      <c r="E93" s="30"/>
      <c r="F93" s="30"/>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30"/>
      <c r="E94" s="30"/>
      <c r="F94" s="30"/>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30"/>
      <c r="E95" s="30"/>
      <c r="F95" s="30"/>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30"/>
      <c r="E96" s="30"/>
      <c r="F96" s="30"/>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30"/>
      <c r="E97" s="30"/>
      <c r="F97" s="30"/>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30"/>
      <c r="E98" s="30"/>
      <c r="F98" s="30"/>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30"/>
      <c r="E99" s="30"/>
      <c r="F99" s="30"/>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30"/>
      <c r="E100" s="30"/>
      <c r="F100" s="30"/>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30"/>
      <c r="E101" s="30"/>
      <c r="F101" s="30"/>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30"/>
      <c r="E102" s="30"/>
      <c r="F102" s="30"/>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30"/>
      <c r="E103" s="30"/>
      <c r="F103" s="30"/>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30"/>
      <c r="E104" s="30"/>
      <c r="F104" s="30"/>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30"/>
      <c r="E105" s="30"/>
      <c r="F105" s="30"/>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30"/>
      <c r="E106" s="30"/>
      <c r="F106" s="30"/>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30"/>
      <c r="E107" s="30"/>
      <c r="F107" s="30"/>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30"/>
      <c r="E108" s="30"/>
      <c r="F108" s="30"/>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30"/>
      <c r="E109" s="30"/>
      <c r="F109" s="30"/>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30"/>
      <c r="E110" s="30"/>
      <c r="F110" s="30"/>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30"/>
      <c r="E111" s="30"/>
      <c r="F111" s="30"/>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30"/>
      <c r="E112" s="30"/>
      <c r="F112" s="30"/>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30"/>
      <c r="E113" s="30"/>
      <c r="F113" s="30"/>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30"/>
      <c r="E114" s="30"/>
      <c r="F114" s="30"/>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30"/>
      <c r="E115" s="30"/>
      <c r="F115" s="30"/>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30"/>
      <c r="E116" s="30"/>
      <c r="F116" s="30"/>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30"/>
      <c r="E117" s="30"/>
      <c r="F117" s="30"/>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30"/>
      <c r="E118" s="30"/>
      <c r="F118" s="30"/>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30"/>
      <c r="E119" s="30"/>
      <c r="F119" s="30"/>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30"/>
      <c r="E120" s="30"/>
      <c r="F120" s="30"/>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30"/>
      <c r="E121" s="30"/>
      <c r="F121" s="30"/>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30"/>
      <c r="E122" s="30"/>
      <c r="F122" s="30"/>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30"/>
      <c r="E123" s="30"/>
      <c r="F123" s="30"/>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30"/>
      <c r="E124" s="30"/>
      <c r="F124" s="30"/>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30"/>
      <c r="E125" s="30"/>
      <c r="F125" s="30"/>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30"/>
      <c r="E126" s="30"/>
      <c r="F126" s="30"/>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30"/>
      <c r="E127" s="30"/>
      <c r="F127" s="30"/>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30"/>
      <c r="E128" s="30"/>
      <c r="F128" s="30"/>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30"/>
      <c r="E129" s="30"/>
      <c r="F129" s="30"/>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30"/>
      <c r="E130" s="30"/>
      <c r="F130" s="30"/>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30"/>
      <c r="E131" s="30"/>
      <c r="F131" s="30"/>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30"/>
      <c r="E132" s="30"/>
      <c r="F132" s="30"/>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30"/>
      <c r="E133" s="30"/>
      <c r="F133" s="30"/>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30"/>
      <c r="E134" s="30"/>
      <c r="F134" s="30"/>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30"/>
      <c r="E135" s="30"/>
      <c r="F135" s="30"/>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30"/>
      <c r="E136" s="30"/>
      <c r="F136" s="30"/>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30"/>
      <c r="E137" s="30"/>
      <c r="F137" s="30"/>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30"/>
      <c r="E138" s="30"/>
      <c r="F138" s="30"/>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30"/>
      <c r="E139" s="30"/>
      <c r="F139" s="30"/>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30"/>
      <c r="E140" s="30"/>
      <c r="F140" s="30"/>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30"/>
      <c r="E141" s="30"/>
      <c r="F141" s="30"/>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30"/>
      <c r="E142" s="30"/>
      <c r="F142" s="30"/>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30"/>
      <c r="E143" s="30"/>
      <c r="F143" s="30"/>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30"/>
      <c r="E144" s="30"/>
      <c r="F144" s="30"/>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30"/>
      <c r="E145" s="30"/>
      <c r="F145" s="30"/>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30"/>
      <c r="E146" s="30"/>
      <c r="F146" s="30"/>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30"/>
      <c r="E147" s="30"/>
      <c r="F147" s="30"/>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30"/>
      <c r="E148" s="30"/>
      <c r="F148" s="30"/>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30"/>
      <c r="E149" s="30"/>
      <c r="F149" s="30"/>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30"/>
      <c r="E150" s="30"/>
      <c r="F150" s="30"/>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30"/>
      <c r="E151" s="30"/>
      <c r="F151" s="30"/>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30"/>
      <c r="E152" s="30"/>
      <c r="F152" s="30"/>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30"/>
      <c r="E153" s="30"/>
      <c r="F153" s="30"/>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30"/>
      <c r="E154" s="30"/>
      <c r="F154" s="30"/>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30"/>
      <c r="E155" s="30"/>
      <c r="F155" s="30"/>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30"/>
      <c r="E156" s="30"/>
      <c r="F156" s="30"/>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30"/>
      <c r="E157" s="30"/>
      <c r="F157" s="30"/>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30"/>
      <c r="E158" s="30"/>
      <c r="F158" s="30"/>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30"/>
      <c r="E159" s="30"/>
      <c r="F159" s="30"/>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30"/>
      <c r="E160" s="30"/>
      <c r="F160" s="30"/>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30"/>
      <c r="E161" s="30"/>
      <c r="F161" s="30"/>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30"/>
      <c r="E162" s="30"/>
      <c r="F162" s="30"/>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30"/>
      <c r="E163" s="30"/>
      <c r="F163" s="30"/>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30"/>
      <c r="E164" s="30"/>
      <c r="F164" s="30"/>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30"/>
      <c r="E165" s="30"/>
      <c r="F165" s="30"/>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30"/>
      <c r="E166" s="30"/>
      <c r="F166" s="30"/>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30"/>
      <c r="E167" s="30"/>
      <c r="F167" s="30"/>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30"/>
      <c r="E168" s="30"/>
      <c r="F168" s="30"/>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30"/>
      <c r="E169" s="30"/>
      <c r="F169" s="30"/>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30"/>
      <c r="E170" s="30"/>
      <c r="F170" s="30"/>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30"/>
      <c r="E171" s="30"/>
      <c r="F171" s="30"/>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30"/>
      <c r="E172" s="30"/>
      <c r="F172" s="30"/>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30"/>
      <c r="E173" s="30"/>
      <c r="F173" s="30"/>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30"/>
      <c r="E174" s="30"/>
      <c r="F174" s="30"/>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30"/>
      <c r="E175" s="30"/>
      <c r="F175" s="30"/>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30"/>
      <c r="E176" s="30"/>
      <c r="F176" s="30"/>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30"/>
      <c r="E177" s="30"/>
      <c r="F177" s="30"/>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30"/>
      <c r="E178" s="30"/>
      <c r="F178" s="30"/>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30"/>
      <c r="E179" s="30"/>
      <c r="F179" s="30"/>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30"/>
      <c r="E180" s="30"/>
      <c r="F180" s="30"/>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30"/>
      <c r="E181" s="30"/>
      <c r="F181" s="30"/>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30"/>
      <c r="E182" s="30"/>
      <c r="F182" s="30"/>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30"/>
      <c r="E183" s="30"/>
      <c r="F183" s="30"/>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30"/>
      <c r="E184" s="30"/>
      <c r="F184" s="30"/>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30"/>
      <c r="E185" s="30"/>
      <c r="F185" s="30"/>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30"/>
      <c r="E186" s="30"/>
      <c r="F186" s="30"/>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30"/>
      <c r="E187" s="30"/>
      <c r="F187" s="30"/>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30"/>
      <c r="E188" s="30"/>
      <c r="F188" s="30"/>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30"/>
      <c r="E189" s="30"/>
      <c r="F189" s="30"/>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30"/>
      <c r="E190" s="30"/>
      <c r="F190" s="30"/>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30"/>
      <c r="E191" s="30"/>
      <c r="F191" s="30"/>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30"/>
      <c r="E192" s="30"/>
      <c r="F192" s="30"/>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30"/>
      <c r="E193" s="30"/>
      <c r="F193" s="30"/>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30"/>
      <c r="E194" s="30"/>
      <c r="F194" s="30"/>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30"/>
      <c r="E195" s="30"/>
      <c r="F195" s="30"/>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30"/>
      <c r="E196" s="30"/>
      <c r="F196" s="30"/>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30"/>
      <c r="E197" s="30"/>
      <c r="F197" s="30"/>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30"/>
      <c r="E198" s="30"/>
      <c r="F198" s="30"/>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30"/>
      <c r="E199" s="30"/>
      <c r="F199" s="30"/>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30"/>
      <c r="E200" s="30"/>
      <c r="F200" s="30"/>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30"/>
      <c r="E201" s="30"/>
      <c r="F201" s="30"/>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30"/>
      <c r="E202" s="30"/>
      <c r="F202" s="30"/>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30"/>
      <c r="E203" s="30"/>
      <c r="F203" s="30"/>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30"/>
      <c r="E204" s="30"/>
      <c r="F204" s="30"/>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30"/>
      <c r="E205" s="30"/>
      <c r="F205" s="30"/>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30"/>
      <c r="E206" s="30"/>
      <c r="F206" s="30"/>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30"/>
      <c r="E207" s="30"/>
      <c r="F207" s="30"/>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30"/>
      <c r="E208" s="30"/>
      <c r="F208" s="30"/>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30"/>
      <c r="E209" s="30"/>
      <c r="F209" s="30"/>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30"/>
      <c r="E210" s="30"/>
      <c r="F210" s="30"/>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30"/>
      <c r="E211" s="30"/>
      <c r="F211" s="30"/>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30"/>
      <c r="E212" s="30"/>
      <c r="F212" s="30"/>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30"/>
      <c r="E213" s="30"/>
      <c r="F213" s="30"/>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30"/>
      <c r="E214" s="30"/>
      <c r="F214" s="30"/>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30"/>
      <c r="E215" s="30"/>
      <c r="F215" s="30"/>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30"/>
      <c r="E216" s="30"/>
      <c r="F216" s="30"/>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30"/>
      <c r="E217" s="30"/>
      <c r="F217" s="30"/>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30"/>
      <c r="E218" s="30"/>
      <c r="F218" s="30"/>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30"/>
      <c r="E219" s="30"/>
      <c r="F219" s="30"/>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30"/>
      <c r="E220" s="30"/>
      <c r="F220" s="30"/>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30"/>
      <c r="E221" s="30"/>
      <c r="F221" s="30"/>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30"/>
      <c r="E222" s="30"/>
      <c r="F222" s="30"/>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30"/>
      <c r="E223" s="30"/>
      <c r="F223" s="30"/>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30"/>
      <c r="E224" s="30"/>
      <c r="F224" s="30"/>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30"/>
      <c r="E225" s="30"/>
      <c r="F225" s="30"/>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30"/>
      <c r="E226" s="30"/>
      <c r="F226" s="30"/>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30"/>
      <c r="E227" s="30"/>
      <c r="F227" s="30"/>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30"/>
      <c r="E228" s="30"/>
      <c r="F228" s="30"/>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30"/>
      <c r="E229" s="30"/>
      <c r="F229" s="30"/>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30"/>
      <c r="E230" s="30"/>
      <c r="F230" s="30"/>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30"/>
      <c r="E231" s="30"/>
      <c r="F231" s="30"/>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30"/>
      <c r="E232" s="30"/>
      <c r="F232" s="30"/>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30"/>
      <c r="E233" s="30"/>
      <c r="F233" s="30"/>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30"/>
      <c r="E234" s="30"/>
      <c r="F234" s="30"/>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30"/>
      <c r="E235" s="30"/>
      <c r="F235" s="30"/>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30"/>
      <c r="E236" s="30"/>
      <c r="F236" s="30"/>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30"/>
      <c r="E237" s="30"/>
      <c r="F237" s="30"/>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30"/>
      <c r="E238" s="30"/>
      <c r="F238" s="30"/>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30"/>
      <c r="E239" s="30"/>
      <c r="F239" s="30"/>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30"/>
      <c r="E240" s="30"/>
      <c r="F240" s="30"/>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30"/>
      <c r="E241" s="30"/>
      <c r="F241" s="30"/>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30"/>
      <c r="E242" s="30"/>
      <c r="F242" s="30"/>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30"/>
      <c r="E243" s="30"/>
      <c r="F243" s="30"/>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30"/>
      <c r="E244" s="30"/>
      <c r="F244" s="30"/>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30"/>
      <c r="E245" s="30"/>
      <c r="F245" s="30"/>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30"/>
      <c r="E246" s="30"/>
      <c r="F246" s="30"/>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30"/>
      <c r="E247" s="30"/>
      <c r="F247" s="30"/>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30"/>
      <c r="E248" s="30"/>
      <c r="F248" s="30"/>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30"/>
      <c r="E249" s="30"/>
      <c r="F249" s="30"/>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30"/>
      <c r="E250" s="30"/>
      <c r="F250" s="30"/>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30"/>
      <c r="E251" s="30"/>
      <c r="F251" s="30"/>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30"/>
      <c r="E252" s="30"/>
      <c r="F252" s="30"/>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30"/>
      <c r="E253" s="30"/>
      <c r="F253" s="30"/>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30"/>
      <c r="E254" s="30"/>
      <c r="F254" s="30"/>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30"/>
      <c r="E255" s="30"/>
      <c r="F255" s="30"/>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30"/>
      <c r="E256" s="30"/>
      <c r="F256" s="30"/>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30"/>
      <c r="E257" s="30"/>
      <c r="F257" s="30"/>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30"/>
      <c r="E258" s="30"/>
      <c r="F258" s="30"/>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30"/>
      <c r="E259" s="30"/>
      <c r="F259" s="30"/>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30"/>
      <c r="E260" s="30"/>
      <c r="F260" s="30"/>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30"/>
      <c r="E261" s="30"/>
      <c r="F261" s="30"/>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30"/>
      <c r="E262" s="30"/>
      <c r="F262" s="30"/>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30"/>
      <c r="E263" s="30"/>
      <c r="F263" s="30"/>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30"/>
      <c r="E264" s="30"/>
      <c r="F264" s="30"/>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30"/>
      <c r="E265" s="30"/>
      <c r="F265" s="30"/>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30"/>
      <c r="E266" s="30"/>
      <c r="F266" s="30"/>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30"/>
      <c r="E267" s="30"/>
      <c r="F267" s="30"/>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30"/>
      <c r="E268" s="30"/>
      <c r="F268" s="30"/>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30"/>
      <c r="E269" s="30"/>
      <c r="F269" s="30"/>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30"/>
      <c r="E270" s="30"/>
      <c r="F270" s="30"/>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30"/>
      <c r="E271" s="30"/>
      <c r="F271" s="30"/>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30"/>
      <c r="E272" s="30"/>
      <c r="F272" s="30"/>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30"/>
      <c r="E273" s="30"/>
      <c r="F273" s="30"/>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30"/>
      <c r="E274" s="30"/>
      <c r="F274" s="30"/>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30"/>
      <c r="E275" s="30"/>
      <c r="F275" s="30"/>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30"/>
      <c r="E276" s="30"/>
      <c r="F276" s="30"/>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30"/>
      <c r="E277" s="30"/>
      <c r="F277" s="30"/>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30"/>
      <c r="E278" s="30"/>
      <c r="F278" s="30"/>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30"/>
      <c r="E279" s="30"/>
      <c r="F279" s="30"/>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30"/>
      <c r="E280" s="30"/>
      <c r="F280" s="30"/>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30"/>
      <c r="E281" s="30"/>
      <c r="F281" s="30"/>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30"/>
      <c r="E282" s="30"/>
      <c r="F282" s="30"/>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30"/>
      <c r="E283" s="30"/>
      <c r="F283" s="30"/>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30"/>
      <c r="E284" s="30"/>
      <c r="F284" s="30"/>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30"/>
      <c r="E285" s="30"/>
      <c r="F285" s="30"/>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30"/>
      <c r="E286" s="30"/>
      <c r="F286" s="30"/>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30"/>
      <c r="E287" s="30"/>
      <c r="F287" s="30"/>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30"/>
      <c r="E288" s="30"/>
      <c r="F288" s="30"/>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30"/>
      <c r="E289" s="30"/>
      <c r="F289" s="30"/>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30"/>
      <c r="E290" s="30"/>
      <c r="F290" s="30"/>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30"/>
      <c r="E291" s="30"/>
      <c r="F291" s="30"/>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30"/>
      <c r="E292" s="30"/>
      <c r="F292" s="30"/>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30"/>
      <c r="E293" s="30"/>
      <c r="F293" s="30"/>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30"/>
      <c r="E294" s="30"/>
      <c r="F294" s="30"/>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30"/>
      <c r="E295" s="30"/>
      <c r="F295" s="30"/>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30"/>
      <c r="E296" s="30"/>
      <c r="F296" s="30"/>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30"/>
      <c r="E297" s="30"/>
      <c r="F297" s="30"/>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30"/>
      <c r="E298" s="30"/>
      <c r="F298" s="30"/>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30"/>
      <c r="E299" s="30"/>
      <c r="F299" s="30"/>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30"/>
      <c r="E300" s="30"/>
      <c r="F300" s="30"/>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30"/>
      <c r="E301" s="30"/>
      <c r="F301" s="30"/>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30"/>
      <c r="E302" s="30"/>
      <c r="F302" s="30"/>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30"/>
      <c r="E303" s="30"/>
      <c r="F303" s="30"/>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30"/>
      <c r="E304" s="30"/>
      <c r="F304" s="30"/>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30"/>
      <c r="E305" s="30"/>
      <c r="F305" s="30"/>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30"/>
      <c r="E306" s="30"/>
      <c r="F306" s="30"/>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30"/>
      <c r="E307" s="30"/>
      <c r="F307" s="30"/>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30"/>
      <c r="E308" s="30"/>
      <c r="F308" s="30"/>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30"/>
      <c r="E309" s="30"/>
      <c r="F309" s="30"/>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30"/>
      <c r="E310" s="30"/>
      <c r="F310" s="30"/>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30"/>
      <c r="E311" s="30"/>
      <c r="F311" s="30"/>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30"/>
      <c r="E312" s="30"/>
      <c r="F312" s="30"/>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30"/>
      <c r="E313" s="30"/>
      <c r="F313" s="30"/>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30"/>
      <c r="E314" s="30"/>
      <c r="F314" s="30"/>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30"/>
      <c r="E315" s="30"/>
      <c r="F315" s="30"/>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30"/>
      <c r="E316" s="30"/>
      <c r="F316" s="30"/>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30"/>
      <c r="E317" s="30"/>
      <c r="F317" s="30"/>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30"/>
      <c r="E318" s="30"/>
      <c r="F318" s="30"/>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30"/>
      <c r="E319" s="30"/>
      <c r="F319" s="30"/>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30"/>
      <c r="E320" s="30"/>
      <c r="F320" s="30"/>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30"/>
      <c r="E321" s="30"/>
      <c r="F321" s="30"/>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30"/>
      <c r="E322" s="30"/>
      <c r="F322" s="30"/>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30"/>
      <c r="E323" s="30"/>
      <c r="F323" s="30"/>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30"/>
      <c r="E324" s="30"/>
      <c r="F324" s="30"/>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30"/>
      <c r="E325" s="30"/>
      <c r="F325" s="30"/>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30"/>
      <c r="E326" s="30"/>
      <c r="F326" s="30"/>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30"/>
      <c r="E327" s="30"/>
      <c r="F327" s="30"/>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30"/>
      <c r="E328" s="30"/>
      <c r="F328" s="30"/>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30"/>
      <c r="E329" s="30"/>
      <c r="F329" s="30"/>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30"/>
      <c r="E330" s="30"/>
      <c r="F330" s="30"/>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30"/>
      <c r="E331" s="30"/>
      <c r="F331" s="30"/>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30"/>
      <c r="E332" s="30"/>
      <c r="F332" s="30"/>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30"/>
      <c r="E333" s="30"/>
      <c r="F333" s="30"/>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30"/>
      <c r="E334" s="30"/>
      <c r="F334" s="30"/>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30"/>
      <c r="E335" s="30"/>
      <c r="F335" s="30"/>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30"/>
      <c r="E336" s="30"/>
      <c r="F336" s="30"/>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30"/>
      <c r="E337" s="30"/>
      <c r="F337" s="30"/>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30"/>
      <c r="E338" s="30"/>
      <c r="F338" s="30"/>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30"/>
      <c r="E339" s="30"/>
      <c r="F339" s="30"/>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30"/>
      <c r="E340" s="30"/>
      <c r="F340" s="30"/>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30"/>
      <c r="E341" s="30"/>
      <c r="F341" s="30"/>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30"/>
      <c r="E342" s="30"/>
      <c r="F342" s="30"/>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30"/>
      <c r="E343" s="30"/>
      <c r="F343" s="30"/>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30"/>
      <c r="E344" s="30"/>
      <c r="F344" s="30"/>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30"/>
      <c r="E345" s="30"/>
      <c r="F345" s="30"/>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30"/>
      <c r="E346" s="30"/>
      <c r="F346" s="30"/>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30"/>
      <c r="E347" s="30"/>
      <c r="F347" s="30"/>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30"/>
      <c r="E348" s="30"/>
      <c r="F348" s="30"/>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30"/>
      <c r="E349" s="30"/>
      <c r="F349" s="30"/>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30"/>
      <c r="E350" s="30"/>
      <c r="F350" s="30"/>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30"/>
      <c r="E351" s="30"/>
      <c r="F351" s="30"/>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30"/>
      <c r="E352" s="30"/>
      <c r="F352" s="30"/>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30"/>
      <c r="E353" s="30"/>
      <c r="F353" s="30"/>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30"/>
      <c r="E354" s="30"/>
      <c r="F354" s="30"/>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30"/>
      <c r="E355" s="30"/>
      <c r="F355" s="30"/>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30"/>
      <c r="E356" s="30"/>
      <c r="F356" s="30"/>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30"/>
      <c r="E357" s="30"/>
      <c r="F357" s="30"/>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30"/>
      <c r="E358" s="30"/>
      <c r="F358" s="30"/>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30"/>
      <c r="E359" s="30"/>
      <c r="F359" s="30"/>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30"/>
      <c r="E360" s="30"/>
      <c r="F360" s="30"/>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30"/>
      <c r="E361" s="30"/>
      <c r="F361" s="30"/>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30"/>
      <c r="E362" s="30"/>
      <c r="F362" s="30"/>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30"/>
      <c r="E363" s="30"/>
      <c r="F363" s="30"/>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30"/>
      <c r="E364" s="30"/>
      <c r="F364" s="30"/>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30"/>
      <c r="E365" s="30"/>
      <c r="F365" s="30"/>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30"/>
      <c r="E366" s="30"/>
      <c r="F366" s="30"/>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30"/>
      <c r="E367" s="30"/>
      <c r="F367" s="30"/>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30"/>
      <c r="E368" s="30"/>
      <c r="F368" s="30"/>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30"/>
      <c r="E369" s="30"/>
      <c r="F369" s="30"/>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30"/>
      <c r="E370" s="30"/>
      <c r="F370" s="30"/>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30"/>
      <c r="E371" s="30"/>
      <c r="F371" s="30"/>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30"/>
      <c r="E372" s="30"/>
      <c r="F372" s="30"/>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30"/>
      <c r="E373" s="30"/>
      <c r="F373" s="30"/>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30"/>
      <c r="E374" s="30"/>
      <c r="F374" s="30"/>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30"/>
      <c r="E375" s="30"/>
      <c r="F375" s="30"/>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30"/>
      <c r="E376" s="30"/>
      <c r="F376" s="30"/>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30"/>
      <c r="E377" s="30"/>
      <c r="F377" s="30"/>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30"/>
      <c r="E378" s="30"/>
      <c r="F378" s="30"/>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30"/>
      <c r="E379" s="30"/>
      <c r="F379" s="30"/>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30"/>
      <c r="E380" s="30"/>
      <c r="F380" s="30"/>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30"/>
      <c r="E381" s="30"/>
      <c r="F381" s="30"/>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30"/>
      <c r="E382" s="30"/>
      <c r="F382" s="30"/>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30"/>
      <c r="E383" s="30"/>
      <c r="F383" s="30"/>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30"/>
      <c r="E384" s="30"/>
      <c r="F384" s="30"/>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30"/>
      <c r="E385" s="30"/>
      <c r="F385" s="30"/>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30"/>
      <c r="E386" s="30"/>
      <c r="F386" s="30"/>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30"/>
      <c r="E387" s="30"/>
      <c r="F387" s="30"/>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30"/>
      <c r="E388" s="30"/>
      <c r="F388" s="30"/>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30"/>
      <c r="E389" s="30"/>
      <c r="F389" s="30"/>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30"/>
      <c r="E390" s="30"/>
      <c r="F390" s="30"/>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30"/>
      <c r="E391" s="30"/>
      <c r="F391" s="30"/>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30"/>
      <c r="E392" s="30"/>
      <c r="F392" s="30"/>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30"/>
      <c r="E393" s="30"/>
      <c r="F393" s="30"/>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30"/>
      <c r="E394" s="30"/>
      <c r="F394" s="30"/>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30"/>
      <c r="E395" s="30"/>
      <c r="F395" s="30"/>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30"/>
      <c r="E396" s="30"/>
      <c r="F396" s="30"/>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30"/>
      <c r="E397" s="30"/>
      <c r="F397" s="30"/>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30"/>
      <c r="E398" s="30"/>
      <c r="F398" s="30"/>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30"/>
      <c r="E399" s="30"/>
      <c r="F399" s="30"/>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30"/>
      <c r="E400" s="30"/>
      <c r="F400" s="30"/>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30"/>
      <c r="E401" s="30"/>
      <c r="F401" s="30"/>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30"/>
      <c r="E402" s="30"/>
      <c r="F402" s="30"/>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30"/>
      <c r="E403" s="30"/>
      <c r="F403" s="30"/>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30"/>
      <c r="E404" s="30"/>
      <c r="F404" s="30"/>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30"/>
      <c r="E405" s="30"/>
      <c r="F405" s="30"/>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30"/>
      <c r="E406" s="30"/>
      <c r="F406" s="30"/>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30"/>
      <c r="E407" s="30"/>
      <c r="F407" s="30"/>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30"/>
      <c r="E408" s="30"/>
      <c r="F408" s="30"/>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30"/>
      <c r="E409" s="30"/>
      <c r="F409" s="30"/>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30"/>
      <c r="E410" s="30"/>
      <c r="F410" s="30"/>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30"/>
      <c r="E411" s="30"/>
      <c r="F411" s="30"/>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30"/>
      <c r="E412" s="30"/>
      <c r="F412" s="30"/>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30"/>
      <c r="E413" s="30"/>
      <c r="F413" s="30"/>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30"/>
      <c r="E414" s="30"/>
      <c r="F414" s="30"/>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30"/>
      <c r="E415" s="30"/>
      <c r="F415" s="30"/>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30"/>
      <c r="E416" s="30"/>
      <c r="F416" s="30"/>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30"/>
      <c r="E417" s="30"/>
      <c r="F417" s="30"/>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30"/>
      <c r="E418" s="30"/>
      <c r="F418" s="30"/>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30"/>
      <c r="E419" s="30"/>
      <c r="F419" s="30"/>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30"/>
      <c r="E420" s="30"/>
      <c r="F420" s="30"/>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30"/>
      <c r="E421" s="30"/>
      <c r="F421" s="30"/>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30"/>
      <c r="E422" s="30"/>
      <c r="F422" s="30"/>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30"/>
      <c r="E423" s="30"/>
      <c r="F423" s="30"/>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30"/>
      <c r="E424" s="30"/>
      <c r="F424" s="30"/>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30"/>
      <c r="E425" s="30"/>
      <c r="F425" s="30"/>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30"/>
      <c r="E426" s="30"/>
      <c r="F426" s="30"/>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30"/>
      <c r="E427" s="30"/>
      <c r="F427" s="30"/>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30"/>
      <c r="E428" s="30"/>
      <c r="F428" s="30"/>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30"/>
      <c r="E429" s="30"/>
      <c r="F429" s="30"/>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30"/>
      <c r="E430" s="30"/>
      <c r="F430" s="30"/>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30"/>
      <c r="E431" s="30"/>
      <c r="F431" s="30"/>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30"/>
      <c r="E432" s="30"/>
      <c r="F432" s="30"/>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30"/>
      <c r="E433" s="30"/>
      <c r="F433" s="30"/>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30"/>
      <c r="E434" s="30"/>
      <c r="F434" s="30"/>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30"/>
      <c r="E435" s="30"/>
      <c r="F435" s="30"/>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30"/>
      <c r="E436" s="30"/>
      <c r="F436" s="30"/>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30"/>
      <c r="E437" s="30"/>
      <c r="F437" s="30"/>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30"/>
      <c r="E438" s="30"/>
      <c r="F438" s="30"/>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30"/>
      <c r="E439" s="30"/>
      <c r="F439" s="30"/>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30"/>
      <c r="E440" s="30"/>
      <c r="F440" s="30"/>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30"/>
      <c r="E441" s="30"/>
      <c r="F441" s="30"/>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30"/>
      <c r="E442" s="30"/>
      <c r="F442" s="30"/>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30"/>
      <c r="E443" s="30"/>
      <c r="F443" s="30"/>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30"/>
      <c r="E444" s="30"/>
      <c r="F444" s="30"/>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30"/>
      <c r="E445" s="30"/>
      <c r="F445" s="30"/>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30"/>
      <c r="E446" s="30"/>
      <c r="F446" s="30"/>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30"/>
      <c r="E447" s="30"/>
      <c r="F447" s="30"/>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30"/>
      <c r="E448" s="30"/>
      <c r="F448" s="30"/>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30"/>
      <c r="E449" s="30"/>
      <c r="F449" s="30"/>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30"/>
      <c r="E450" s="30"/>
      <c r="F450" s="30"/>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30"/>
      <c r="E451" s="30"/>
      <c r="F451" s="30"/>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30"/>
      <c r="E452" s="30"/>
      <c r="F452" s="30"/>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30"/>
      <c r="E453" s="30"/>
      <c r="F453" s="30"/>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30"/>
      <c r="E454" s="30"/>
      <c r="F454" s="30"/>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30"/>
      <c r="E455" s="30"/>
      <c r="F455" s="30"/>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30"/>
      <c r="E456" s="30"/>
      <c r="F456" s="30"/>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30"/>
      <c r="E457" s="30"/>
      <c r="F457" s="30"/>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30"/>
      <c r="E458" s="30"/>
      <c r="F458" s="30"/>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30"/>
      <c r="E459" s="30"/>
      <c r="F459" s="30"/>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30"/>
      <c r="E460" s="30"/>
      <c r="F460" s="30"/>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30"/>
      <c r="E461" s="30"/>
      <c r="F461" s="30"/>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30"/>
      <c r="E462" s="30"/>
      <c r="F462" s="30"/>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30"/>
      <c r="E463" s="30"/>
      <c r="F463" s="30"/>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30"/>
      <c r="E464" s="30"/>
      <c r="F464" s="30"/>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30"/>
      <c r="E465" s="30"/>
      <c r="F465" s="30"/>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30"/>
      <c r="E466" s="30"/>
      <c r="F466" s="30"/>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30"/>
      <c r="E467" s="30"/>
      <c r="F467" s="30"/>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30"/>
      <c r="E468" s="30"/>
      <c r="F468" s="30"/>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30"/>
      <c r="E469" s="30"/>
      <c r="F469" s="30"/>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30"/>
      <c r="E470" s="30"/>
      <c r="F470" s="30"/>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30"/>
      <c r="E471" s="30"/>
      <c r="F471" s="30"/>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30"/>
      <c r="E472" s="30"/>
      <c r="F472" s="30"/>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30"/>
      <c r="E473" s="30"/>
      <c r="F473" s="30"/>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30"/>
      <c r="E474" s="30"/>
      <c r="F474" s="30"/>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30"/>
      <c r="E475" s="30"/>
      <c r="F475" s="30"/>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30"/>
      <c r="E476" s="30"/>
      <c r="F476" s="30"/>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30"/>
      <c r="E477" s="30"/>
      <c r="F477" s="30"/>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30"/>
      <c r="E478" s="30"/>
      <c r="F478" s="30"/>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30"/>
      <c r="E479" s="30"/>
      <c r="F479" s="30"/>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30"/>
      <c r="E480" s="30"/>
      <c r="F480" s="30"/>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30"/>
      <c r="E481" s="30"/>
      <c r="F481" s="30"/>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30"/>
      <c r="E482" s="30"/>
      <c r="F482" s="30"/>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30"/>
      <c r="E483" s="30"/>
      <c r="F483" s="30"/>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30"/>
      <c r="E484" s="30"/>
      <c r="F484" s="30"/>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30"/>
      <c r="E485" s="30"/>
      <c r="F485" s="30"/>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30"/>
      <c r="E486" s="30"/>
      <c r="F486" s="30"/>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30"/>
      <c r="E487" s="30"/>
      <c r="F487" s="30"/>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30"/>
      <c r="E488" s="30"/>
      <c r="F488" s="30"/>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30"/>
      <c r="E489" s="30"/>
      <c r="F489" s="30"/>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30"/>
      <c r="E490" s="30"/>
      <c r="F490" s="30"/>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30"/>
      <c r="E491" s="30"/>
      <c r="F491" s="30"/>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30"/>
      <c r="E492" s="30"/>
      <c r="F492" s="30"/>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30"/>
      <c r="E493" s="30"/>
      <c r="F493" s="30"/>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30"/>
      <c r="E494" s="30"/>
      <c r="F494" s="30"/>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30"/>
      <c r="E495" s="30"/>
      <c r="F495" s="30"/>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30"/>
      <c r="E496" s="30"/>
      <c r="F496" s="30"/>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30"/>
      <c r="E497" s="30"/>
      <c r="F497" s="30"/>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30"/>
      <c r="E498" s="30"/>
      <c r="F498" s="30"/>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30"/>
      <c r="E499" s="30"/>
      <c r="F499" s="30"/>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30"/>
      <c r="E500" s="30"/>
      <c r="F500" s="30"/>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30"/>
      <c r="E501" s="30"/>
      <c r="F501" s="30"/>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30"/>
      <c r="E502" s="30"/>
      <c r="F502" s="30"/>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30"/>
      <c r="E503" s="30"/>
      <c r="F503" s="30"/>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30"/>
      <c r="E504" s="30"/>
      <c r="F504" s="30"/>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30"/>
      <c r="E505" s="30"/>
      <c r="F505" s="30"/>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30"/>
      <c r="E506" s="30"/>
      <c r="F506" s="30"/>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30"/>
      <c r="E507" s="30"/>
      <c r="F507" s="30"/>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30"/>
      <c r="E508" s="30"/>
      <c r="F508" s="30"/>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30"/>
      <c r="E509" s="30"/>
      <c r="F509" s="30"/>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30"/>
      <c r="E510" s="30"/>
      <c r="F510" s="30"/>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30"/>
      <c r="E511" s="30"/>
      <c r="F511" s="30"/>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30"/>
      <c r="E512" s="30"/>
      <c r="F512" s="30"/>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30"/>
      <c r="E513" s="30"/>
      <c r="F513" s="30"/>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30"/>
      <c r="E514" s="30"/>
      <c r="F514" s="30"/>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30"/>
      <c r="E515" s="30"/>
      <c r="F515" s="30"/>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30"/>
      <c r="E516" s="30"/>
      <c r="F516" s="30"/>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30"/>
      <c r="E517" s="30"/>
      <c r="F517" s="30"/>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30"/>
      <c r="E518" s="30"/>
      <c r="F518" s="30"/>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30"/>
      <c r="E519" s="30"/>
      <c r="F519" s="30"/>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30"/>
      <c r="E520" s="30"/>
      <c r="F520" s="30"/>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30"/>
      <c r="E521" s="30"/>
      <c r="F521" s="30"/>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30"/>
      <c r="E522" s="30"/>
      <c r="F522" s="30"/>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30"/>
      <c r="E523" s="30"/>
      <c r="F523" s="30"/>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30"/>
      <c r="E524" s="30"/>
      <c r="F524" s="30"/>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30"/>
      <c r="E525" s="30"/>
      <c r="F525" s="30"/>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30"/>
      <c r="E526" s="30"/>
      <c r="F526" s="30"/>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30"/>
      <c r="E527" s="30"/>
      <c r="F527" s="30"/>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30"/>
      <c r="E528" s="30"/>
      <c r="F528" s="30"/>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30"/>
      <c r="E529" s="30"/>
      <c r="F529" s="30"/>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30"/>
      <c r="E530" s="30"/>
      <c r="F530" s="30"/>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30"/>
      <c r="E531" s="30"/>
      <c r="F531" s="30"/>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30"/>
      <c r="E532" s="30"/>
      <c r="F532" s="30"/>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30"/>
      <c r="E533" s="30"/>
      <c r="F533" s="30"/>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30"/>
      <c r="E534" s="30"/>
      <c r="F534" s="30"/>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30"/>
      <c r="E535" s="30"/>
      <c r="F535" s="30"/>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30"/>
      <c r="E536" s="30"/>
      <c r="F536" s="30"/>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30"/>
      <c r="E537" s="30"/>
      <c r="F537" s="30"/>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30"/>
      <c r="E538" s="30"/>
      <c r="F538" s="30"/>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30"/>
      <c r="E539" s="30"/>
      <c r="F539" s="30"/>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30"/>
      <c r="E540" s="30"/>
      <c r="F540" s="30"/>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30"/>
      <c r="E541" s="30"/>
      <c r="F541" s="30"/>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30"/>
      <c r="E542" s="30"/>
      <c r="F542" s="30"/>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30"/>
      <c r="E543" s="30"/>
      <c r="F543" s="30"/>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30"/>
      <c r="E544" s="30"/>
      <c r="F544" s="30"/>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30"/>
      <c r="E545" s="30"/>
      <c r="F545" s="30"/>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30"/>
      <c r="E546" s="30"/>
      <c r="F546" s="30"/>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30"/>
      <c r="E547" s="30"/>
      <c r="F547" s="30"/>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30"/>
      <c r="E548" s="30"/>
      <c r="F548" s="30"/>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30"/>
      <c r="E549" s="30"/>
      <c r="F549" s="30"/>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30"/>
      <c r="E550" s="30"/>
      <c r="F550" s="30"/>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30"/>
      <c r="E551" s="30"/>
      <c r="F551" s="30"/>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30"/>
      <c r="E552" s="30"/>
      <c r="F552" s="30"/>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30"/>
      <c r="E553" s="30"/>
      <c r="F553" s="30"/>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30"/>
      <c r="E554" s="30"/>
      <c r="F554" s="30"/>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30"/>
      <c r="E555" s="30"/>
      <c r="F555" s="30"/>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30"/>
      <c r="E556" s="30"/>
      <c r="F556" s="30"/>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30"/>
      <c r="E557" s="30"/>
      <c r="F557" s="30"/>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30"/>
      <c r="E558" s="30"/>
      <c r="F558" s="30"/>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30"/>
      <c r="E559" s="30"/>
      <c r="F559" s="30"/>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30"/>
      <c r="E560" s="30"/>
      <c r="F560" s="30"/>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30"/>
      <c r="E561" s="30"/>
      <c r="F561" s="30"/>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30"/>
      <c r="E562" s="30"/>
      <c r="F562" s="30"/>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30"/>
      <c r="E563" s="30"/>
      <c r="F563" s="30"/>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30"/>
      <c r="E564" s="30"/>
      <c r="F564" s="30"/>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30"/>
      <c r="E565" s="30"/>
      <c r="F565" s="30"/>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30"/>
      <c r="E566" s="30"/>
      <c r="F566" s="30"/>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30"/>
      <c r="E567" s="30"/>
      <c r="F567" s="30"/>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30"/>
      <c r="E568" s="30"/>
      <c r="F568" s="30"/>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30"/>
      <c r="E569" s="30"/>
      <c r="F569" s="30"/>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30"/>
      <c r="E570" s="30"/>
      <c r="F570" s="30"/>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30"/>
      <c r="E571" s="30"/>
      <c r="F571" s="30"/>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30"/>
      <c r="E572" s="30"/>
      <c r="F572" s="30"/>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30"/>
      <c r="E573" s="30"/>
      <c r="F573" s="30"/>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30"/>
      <c r="E574" s="30"/>
      <c r="F574" s="30"/>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30"/>
      <c r="E575" s="30"/>
      <c r="F575" s="30"/>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30"/>
      <c r="E576" s="30"/>
      <c r="F576" s="30"/>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30"/>
      <c r="E577" s="30"/>
      <c r="F577" s="30"/>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30"/>
      <c r="E578" s="30"/>
      <c r="F578" s="30"/>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30"/>
      <c r="E579" s="30"/>
      <c r="F579" s="30"/>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30"/>
      <c r="E580" s="30"/>
      <c r="F580" s="30"/>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30"/>
      <c r="E581" s="30"/>
      <c r="F581" s="30"/>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30"/>
      <c r="E582" s="30"/>
      <c r="F582" s="30"/>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30"/>
      <c r="E583" s="30"/>
      <c r="F583" s="30"/>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30"/>
      <c r="E584" s="30"/>
      <c r="F584" s="30"/>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30"/>
      <c r="E585" s="30"/>
      <c r="F585" s="30"/>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30"/>
      <c r="E586" s="30"/>
      <c r="F586" s="30"/>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30"/>
      <c r="E587" s="30"/>
      <c r="F587" s="30"/>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30"/>
      <c r="E588" s="30"/>
      <c r="F588" s="30"/>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30"/>
      <c r="E589" s="30"/>
      <c r="F589" s="30"/>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30"/>
      <c r="E590" s="30"/>
      <c r="F590" s="30"/>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30"/>
      <c r="E591" s="30"/>
      <c r="F591" s="30"/>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30"/>
      <c r="E592" s="30"/>
      <c r="F592" s="30"/>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30"/>
      <c r="E593" s="30"/>
      <c r="F593" s="30"/>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30"/>
      <c r="E594" s="30"/>
      <c r="F594" s="30"/>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30"/>
      <c r="E595" s="30"/>
      <c r="F595" s="30"/>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30"/>
      <c r="E596" s="30"/>
      <c r="F596" s="30"/>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30"/>
      <c r="E597" s="30"/>
      <c r="F597" s="30"/>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30"/>
      <c r="E598" s="30"/>
      <c r="F598" s="30"/>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30"/>
      <c r="E599" s="30"/>
      <c r="F599" s="30"/>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30"/>
      <c r="E600" s="30"/>
      <c r="F600" s="30"/>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30"/>
      <c r="E601" s="30"/>
      <c r="F601" s="30"/>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30"/>
      <c r="E602" s="30"/>
      <c r="F602" s="30"/>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30"/>
      <c r="E603" s="30"/>
      <c r="F603" s="30"/>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30"/>
      <c r="E604" s="30"/>
      <c r="F604" s="30"/>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30"/>
      <c r="E605" s="30"/>
      <c r="F605" s="30"/>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30"/>
      <c r="E606" s="30"/>
      <c r="F606" s="30"/>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30"/>
      <c r="E607" s="30"/>
      <c r="F607" s="30"/>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30"/>
      <c r="E608" s="30"/>
      <c r="F608" s="30"/>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30"/>
      <c r="E609" s="30"/>
      <c r="F609" s="30"/>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30"/>
      <c r="E610" s="30"/>
      <c r="F610" s="30"/>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30"/>
      <c r="E611" s="30"/>
      <c r="F611" s="30"/>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30"/>
      <c r="E612" s="30"/>
      <c r="F612" s="30"/>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30"/>
      <c r="E613" s="30"/>
      <c r="F613" s="30"/>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30"/>
      <c r="E614" s="30"/>
      <c r="F614" s="30"/>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30"/>
      <c r="E615" s="30"/>
      <c r="F615" s="30"/>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30"/>
      <c r="E616" s="30"/>
      <c r="F616" s="30"/>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30"/>
      <c r="E617" s="30"/>
      <c r="F617" s="30"/>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30"/>
      <c r="E618" s="30"/>
      <c r="F618" s="30"/>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30"/>
      <c r="E619" s="30"/>
      <c r="F619" s="30"/>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30"/>
      <c r="E620" s="30"/>
      <c r="F620" s="30"/>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30"/>
      <c r="E621" s="30"/>
      <c r="F621" s="30"/>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30"/>
      <c r="E622" s="30"/>
      <c r="F622" s="30"/>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30"/>
      <c r="E623" s="30"/>
      <c r="F623" s="30"/>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30"/>
      <c r="E624" s="30"/>
      <c r="F624" s="30"/>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30"/>
      <c r="E625" s="30"/>
      <c r="F625" s="30"/>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30"/>
      <c r="E626" s="30"/>
      <c r="F626" s="30"/>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30"/>
      <c r="E627" s="30"/>
      <c r="F627" s="30"/>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30"/>
      <c r="E628" s="30"/>
      <c r="F628" s="30"/>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30"/>
      <c r="E629" s="30"/>
      <c r="F629" s="30"/>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30"/>
      <c r="E630" s="30"/>
      <c r="F630" s="30"/>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30"/>
      <c r="E631" s="30"/>
      <c r="F631" s="30"/>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30"/>
      <c r="E632" s="30"/>
      <c r="F632" s="30"/>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30"/>
      <c r="E633" s="30"/>
      <c r="F633" s="30"/>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30"/>
      <c r="E634" s="30"/>
      <c r="F634" s="30"/>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30"/>
      <c r="E635" s="30"/>
      <c r="F635" s="30"/>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30"/>
      <c r="E636" s="30"/>
      <c r="F636" s="30"/>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30"/>
      <c r="E637" s="30"/>
      <c r="F637" s="30"/>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30"/>
      <c r="E638" s="30"/>
      <c r="F638" s="30"/>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30"/>
      <c r="E639" s="30"/>
      <c r="F639" s="30"/>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30"/>
      <c r="E640" s="30"/>
      <c r="F640" s="30"/>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30"/>
      <c r="E641" s="30"/>
      <c r="F641" s="30"/>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30"/>
      <c r="E642" s="30"/>
      <c r="F642" s="30"/>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30"/>
      <c r="E643" s="30"/>
      <c r="F643" s="30"/>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30"/>
      <c r="E644" s="30"/>
      <c r="F644" s="30"/>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30"/>
      <c r="E645" s="30"/>
      <c r="F645" s="30"/>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30"/>
      <c r="E646" s="30"/>
      <c r="F646" s="30"/>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30"/>
      <c r="E647" s="30"/>
      <c r="F647" s="30"/>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30"/>
      <c r="E648" s="30"/>
      <c r="F648" s="30"/>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30"/>
      <c r="E649" s="30"/>
      <c r="F649" s="30"/>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30"/>
      <c r="E650" s="30"/>
      <c r="F650" s="30"/>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30"/>
      <c r="E651" s="30"/>
      <c r="F651" s="30"/>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30"/>
      <c r="E652" s="30"/>
      <c r="F652" s="30"/>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30"/>
      <c r="E653" s="30"/>
      <c r="F653" s="30"/>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30"/>
      <c r="E654" s="30"/>
      <c r="F654" s="30"/>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30"/>
      <c r="E655" s="30"/>
      <c r="F655" s="30"/>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30"/>
      <c r="E656" s="30"/>
      <c r="F656" s="30"/>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30"/>
      <c r="E657" s="30"/>
      <c r="F657" s="30"/>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30"/>
      <c r="E658" s="30"/>
      <c r="F658" s="30"/>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30"/>
      <c r="E659" s="30"/>
      <c r="F659" s="30"/>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30"/>
      <c r="E660" s="30"/>
      <c r="F660" s="30"/>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30"/>
      <c r="E661" s="30"/>
      <c r="F661" s="30"/>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30"/>
      <c r="E662" s="30"/>
      <c r="F662" s="30"/>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30"/>
      <c r="E663" s="30"/>
      <c r="F663" s="30"/>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30"/>
      <c r="E664" s="30"/>
      <c r="F664" s="30"/>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30"/>
      <c r="E665" s="30"/>
      <c r="F665" s="30"/>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30"/>
      <c r="E666" s="30"/>
      <c r="F666" s="30"/>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30"/>
      <c r="E667" s="30"/>
      <c r="F667" s="30"/>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30"/>
      <c r="E668" s="30"/>
      <c r="F668" s="30"/>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30"/>
      <c r="E669" s="30"/>
      <c r="F669" s="30"/>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30"/>
      <c r="E670" s="30"/>
      <c r="F670" s="30"/>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30"/>
      <c r="E671" s="30"/>
      <c r="F671" s="30"/>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30"/>
      <c r="E672" s="30"/>
      <c r="F672" s="30"/>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30"/>
      <c r="E673" s="30"/>
      <c r="F673" s="30"/>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30"/>
      <c r="E674" s="30"/>
      <c r="F674" s="30"/>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30"/>
      <c r="E675" s="30"/>
      <c r="F675" s="30"/>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30"/>
      <c r="E676" s="30"/>
      <c r="F676" s="30"/>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30"/>
      <c r="E677" s="30"/>
      <c r="F677" s="30"/>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30"/>
      <c r="E678" s="30"/>
      <c r="F678" s="30"/>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30"/>
      <c r="E679" s="30"/>
      <c r="F679" s="30"/>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30"/>
      <c r="E680" s="30"/>
      <c r="F680" s="30"/>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30"/>
      <c r="E681" s="30"/>
      <c r="F681" s="30"/>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30"/>
      <c r="E682" s="30"/>
      <c r="F682" s="30"/>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30"/>
      <c r="E683" s="30"/>
      <c r="F683" s="30"/>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30"/>
      <c r="E684" s="30"/>
      <c r="F684" s="30"/>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30"/>
      <c r="E685" s="30"/>
      <c r="F685" s="30"/>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30"/>
      <c r="E686" s="30"/>
      <c r="F686" s="30"/>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30"/>
      <c r="E687" s="30"/>
      <c r="F687" s="30"/>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30"/>
      <c r="E688" s="30"/>
      <c r="F688" s="30"/>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30"/>
      <c r="E689" s="30"/>
      <c r="F689" s="30"/>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30"/>
      <c r="E690" s="30"/>
      <c r="F690" s="30"/>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30"/>
      <c r="E691" s="30"/>
      <c r="F691" s="30"/>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30"/>
      <c r="E692" s="30"/>
      <c r="F692" s="30"/>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30"/>
      <c r="E693" s="30"/>
      <c r="F693" s="30"/>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30"/>
      <c r="E694" s="30"/>
      <c r="F694" s="30"/>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30"/>
      <c r="E695" s="30"/>
      <c r="F695" s="30"/>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30"/>
      <c r="E696" s="30"/>
      <c r="F696" s="30"/>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30"/>
      <c r="E697" s="30"/>
      <c r="F697" s="30"/>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30"/>
      <c r="E698" s="30"/>
      <c r="F698" s="30"/>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30"/>
      <c r="E699" s="30"/>
      <c r="F699" s="30"/>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30"/>
      <c r="E700" s="30"/>
      <c r="F700" s="30"/>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30"/>
      <c r="E701" s="30"/>
      <c r="F701" s="30"/>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30"/>
      <c r="E702" s="30"/>
      <c r="F702" s="30"/>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30"/>
      <c r="E703" s="30"/>
      <c r="F703" s="30"/>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30"/>
      <c r="E704" s="30"/>
      <c r="F704" s="30"/>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30"/>
      <c r="E705" s="30"/>
      <c r="F705" s="30"/>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30"/>
      <c r="E706" s="30"/>
      <c r="F706" s="30"/>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30"/>
      <c r="E707" s="30"/>
      <c r="F707" s="30"/>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30"/>
      <c r="E708" s="30"/>
      <c r="F708" s="30"/>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30"/>
      <c r="E709" s="30"/>
      <c r="F709" s="30"/>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30"/>
      <c r="E710" s="30"/>
      <c r="F710" s="30"/>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30"/>
      <c r="E711" s="30"/>
      <c r="F711" s="30"/>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30"/>
      <c r="E712" s="30"/>
      <c r="F712" s="30"/>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30"/>
      <c r="E713" s="30"/>
      <c r="F713" s="30"/>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30"/>
      <c r="E714" s="30"/>
      <c r="F714" s="30"/>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30"/>
      <c r="E715" s="30"/>
      <c r="F715" s="30"/>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30"/>
      <c r="E716" s="30"/>
      <c r="F716" s="30"/>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30"/>
      <c r="E717" s="30"/>
      <c r="F717" s="30"/>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30"/>
      <c r="E718" s="30"/>
      <c r="F718" s="30"/>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30"/>
      <c r="E719" s="30"/>
      <c r="F719" s="30"/>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30"/>
      <c r="E720" s="30"/>
      <c r="F720" s="30"/>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30"/>
      <c r="E721" s="30"/>
      <c r="F721" s="30"/>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30"/>
      <c r="E722" s="30"/>
      <c r="F722" s="30"/>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30"/>
      <c r="E723" s="30"/>
      <c r="F723" s="30"/>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30"/>
      <c r="E724" s="30"/>
      <c r="F724" s="30"/>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30"/>
      <c r="E725" s="30"/>
      <c r="F725" s="30"/>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30"/>
      <c r="E726" s="30"/>
      <c r="F726" s="30"/>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30"/>
      <c r="E727" s="30"/>
      <c r="F727" s="30"/>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30"/>
      <c r="E728" s="30"/>
      <c r="F728" s="30"/>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30"/>
      <c r="E729" s="30"/>
      <c r="F729" s="30"/>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30"/>
      <c r="E730" s="30"/>
      <c r="F730" s="30"/>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30"/>
      <c r="E731" s="30"/>
      <c r="F731" s="30"/>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30"/>
      <c r="E732" s="30"/>
      <c r="F732" s="30"/>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30"/>
      <c r="E733" s="30"/>
      <c r="F733" s="30"/>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30"/>
      <c r="E734" s="30"/>
      <c r="F734" s="30"/>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30"/>
      <c r="E735" s="30"/>
      <c r="F735" s="30"/>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30"/>
      <c r="E736" s="30"/>
      <c r="F736" s="30"/>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30"/>
      <c r="E737" s="30"/>
      <c r="F737" s="30"/>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30"/>
      <c r="E738" s="30"/>
      <c r="F738" s="30"/>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30"/>
      <c r="E739" s="30"/>
      <c r="F739" s="30"/>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30"/>
      <c r="E740" s="30"/>
      <c r="F740" s="30"/>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30"/>
      <c r="E741" s="30"/>
      <c r="F741" s="30"/>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30"/>
      <c r="E742" s="30"/>
      <c r="F742" s="30"/>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30"/>
      <c r="E743" s="30"/>
      <c r="F743" s="30"/>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30"/>
      <c r="E744" s="30"/>
      <c r="F744" s="30"/>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30"/>
      <c r="E745" s="30"/>
      <c r="F745" s="30"/>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30"/>
      <c r="E746" s="30"/>
      <c r="F746" s="30"/>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30"/>
      <c r="E747" s="30"/>
      <c r="F747" s="30"/>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30"/>
      <c r="E748" s="30"/>
      <c r="F748" s="30"/>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30"/>
      <c r="E749" s="30"/>
      <c r="F749" s="30"/>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30"/>
      <c r="E750" s="30"/>
      <c r="F750" s="30"/>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30"/>
      <c r="E751" s="30"/>
      <c r="F751" s="30"/>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30"/>
      <c r="E752" s="30"/>
      <c r="F752" s="30"/>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30"/>
      <c r="E753" s="30"/>
      <c r="F753" s="30"/>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30"/>
      <c r="E754" s="30"/>
      <c r="F754" s="30"/>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30"/>
      <c r="E755" s="30"/>
      <c r="F755" s="30"/>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30"/>
      <c r="E756" s="30"/>
      <c r="F756" s="30"/>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30"/>
      <c r="E757" s="30"/>
      <c r="F757" s="30"/>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30"/>
      <c r="E758" s="30"/>
      <c r="F758" s="30"/>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30"/>
      <c r="E759" s="30"/>
      <c r="F759" s="30"/>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30"/>
      <c r="E760" s="30"/>
      <c r="F760" s="30"/>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30"/>
      <c r="E761" s="30"/>
      <c r="F761" s="30"/>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30"/>
      <c r="E762" s="30"/>
      <c r="F762" s="30"/>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30"/>
      <c r="E763" s="30"/>
      <c r="F763" s="30"/>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30"/>
      <c r="E764" s="30"/>
      <c r="F764" s="30"/>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30"/>
      <c r="E765" s="30"/>
      <c r="F765" s="30"/>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30"/>
      <c r="E766" s="30"/>
      <c r="F766" s="30"/>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30"/>
      <c r="E767" s="30"/>
      <c r="F767" s="30"/>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30"/>
      <c r="E768" s="30"/>
      <c r="F768" s="30"/>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30"/>
      <c r="E769" s="30"/>
      <c r="F769" s="30"/>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30"/>
      <c r="E770" s="30"/>
      <c r="F770" s="30"/>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30"/>
      <c r="E771" s="30"/>
      <c r="F771" s="30"/>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30"/>
      <c r="E772" s="30"/>
      <c r="F772" s="30"/>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30"/>
      <c r="E773" s="30"/>
      <c r="F773" s="30"/>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30"/>
      <c r="E774" s="30"/>
      <c r="F774" s="30"/>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30"/>
      <c r="E775" s="30"/>
      <c r="F775" s="30"/>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30"/>
      <c r="E776" s="30"/>
      <c r="F776" s="30"/>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30"/>
      <c r="E777" s="30"/>
      <c r="F777" s="30"/>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30"/>
      <c r="E778" s="30"/>
      <c r="F778" s="30"/>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30"/>
      <c r="E779" s="30"/>
      <c r="F779" s="30"/>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30"/>
      <c r="E780" s="30"/>
      <c r="F780" s="30"/>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30"/>
      <c r="E781" s="30"/>
      <c r="F781" s="30"/>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30"/>
      <c r="E782" s="30"/>
      <c r="F782" s="30"/>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30"/>
      <c r="E783" s="30"/>
      <c r="F783" s="30"/>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30"/>
      <c r="E784" s="30"/>
      <c r="F784" s="30"/>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30"/>
      <c r="E785" s="30"/>
      <c r="F785" s="30"/>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30"/>
      <c r="E786" s="30"/>
      <c r="F786" s="30"/>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30"/>
      <c r="E787" s="30"/>
      <c r="F787" s="30"/>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30"/>
      <c r="E788" s="30"/>
      <c r="F788" s="30"/>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30"/>
      <c r="E789" s="30"/>
      <c r="F789" s="30"/>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30"/>
      <c r="E790" s="30"/>
      <c r="F790" s="30"/>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30"/>
      <c r="E791" s="30"/>
      <c r="F791" s="30"/>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30"/>
      <c r="E792" s="30"/>
      <c r="F792" s="30"/>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30"/>
      <c r="E793" s="30"/>
      <c r="F793" s="30"/>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30"/>
      <c r="E794" s="30"/>
      <c r="F794" s="30"/>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30"/>
      <c r="E795" s="30"/>
      <c r="F795" s="30"/>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30"/>
      <c r="E796" s="30"/>
      <c r="F796" s="30"/>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30"/>
      <c r="E797" s="30"/>
      <c r="F797" s="30"/>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30"/>
      <c r="E798" s="30"/>
      <c r="F798" s="30"/>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30"/>
      <c r="E799" s="30"/>
      <c r="F799" s="30"/>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30"/>
      <c r="E800" s="30"/>
      <c r="F800" s="30"/>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30"/>
      <c r="E801" s="30"/>
      <c r="F801" s="30"/>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30"/>
      <c r="E802" s="30"/>
      <c r="F802" s="30"/>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30"/>
      <c r="E803" s="30"/>
      <c r="F803" s="30"/>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30"/>
      <c r="E804" s="30"/>
      <c r="F804" s="30"/>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30"/>
      <c r="E805" s="30"/>
      <c r="F805" s="30"/>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30"/>
      <c r="E806" s="30"/>
      <c r="F806" s="30"/>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30"/>
      <c r="E807" s="30"/>
      <c r="F807" s="30"/>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30"/>
      <c r="E808" s="30"/>
      <c r="F808" s="30"/>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30"/>
      <c r="E809" s="30"/>
      <c r="F809" s="30"/>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30"/>
      <c r="E810" s="30"/>
      <c r="F810" s="30"/>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30"/>
      <c r="E811" s="30"/>
      <c r="F811" s="30"/>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30"/>
      <c r="E812" s="30"/>
      <c r="F812" s="30"/>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30"/>
      <c r="E813" s="30"/>
      <c r="F813" s="30"/>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30"/>
      <c r="E814" s="30"/>
      <c r="F814" s="30"/>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30"/>
      <c r="E815" s="30"/>
      <c r="F815" s="30"/>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30"/>
      <c r="E816" s="30"/>
      <c r="F816" s="30"/>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30"/>
      <c r="E817" s="30"/>
      <c r="F817" s="30"/>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30"/>
      <c r="E818" s="30"/>
      <c r="F818" s="30"/>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30"/>
      <c r="E819" s="30"/>
      <c r="F819" s="30"/>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30"/>
      <c r="E820" s="30"/>
      <c r="F820" s="30"/>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30"/>
      <c r="E821" s="30"/>
      <c r="F821" s="30"/>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30"/>
      <c r="E822" s="30"/>
      <c r="F822" s="30"/>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30"/>
      <c r="E823" s="30"/>
      <c r="F823" s="30"/>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30"/>
      <c r="E824" s="30"/>
      <c r="F824" s="30"/>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30"/>
      <c r="E825" s="30"/>
      <c r="F825" s="30"/>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30"/>
      <c r="E826" s="30"/>
      <c r="F826" s="30"/>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30"/>
      <c r="E827" s="30"/>
      <c r="F827" s="30"/>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30"/>
      <c r="E828" s="30"/>
      <c r="F828" s="30"/>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30"/>
      <c r="E829" s="30"/>
      <c r="F829" s="30"/>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30"/>
      <c r="E830" s="30"/>
      <c r="F830" s="30"/>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30"/>
      <c r="E831" s="30"/>
      <c r="F831" s="30"/>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30"/>
      <c r="E832" s="30"/>
      <c r="F832" s="30"/>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30"/>
      <c r="E833" s="30"/>
      <c r="F833" s="30"/>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30"/>
      <c r="E834" s="30"/>
      <c r="F834" s="30"/>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30"/>
      <c r="E835" s="30"/>
      <c r="F835" s="30"/>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30"/>
      <c r="E836" s="30"/>
      <c r="F836" s="30"/>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30"/>
      <c r="E837" s="30"/>
      <c r="F837" s="30"/>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30"/>
      <c r="E838" s="30"/>
      <c r="F838" s="30"/>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30"/>
      <c r="E839" s="30"/>
      <c r="F839" s="30"/>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30"/>
      <c r="E840" s="30"/>
      <c r="F840" s="30"/>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30"/>
      <c r="E841" s="30"/>
      <c r="F841" s="30"/>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30"/>
      <c r="E842" s="30"/>
      <c r="F842" s="30"/>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30"/>
      <c r="E843" s="30"/>
      <c r="F843" s="30"/>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30"/>
      <c r="E844" s="30"/>
      <c r="F844" s="30"/>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30"/>
      <c r="E845" s="30"/>
      <c r="F845" s="30"/>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30"/>
      <c r="E846" s="30"/>
      <c r="F846" s="30"/>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30"/>
      <c r="E847" s="30"/>
      <c r="F847" s="30"/>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30"/>
      <c r="E848" s="30"/>
      <c r="F848" s="30"/>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30"/>
      <c r="E849" s="30"/>
      <c r="F849" s="30"/>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30"/>
      <c r="E850" s="30"/>
      <c r="F850" s="30"/>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30"/>
      <c r="E851" s="30"/>
      <c r="F851" s="30"/>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30"/>
      <c r="E852" s="30"/>
      <c r="F852" s="30"/>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30"/>
      <c r="E853" s="30"/>
      <c r="F853" s="30"/>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30"/>
      <c r="E854" s="30"/>
      <c r="F854" s="30"/>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30"/>
      <c r="E855" s="30"/>
      <c r="F855" s="30"/>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30"/>
      <c r="E856" s="30"/>
      <c r="F856" s="30"/>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30"/>
      <c r="E857" s="30"/>
      <c r="F857" s="30"/>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30"/>
      <c r="E858" s="30"/>
      <c r="F858" s="30"/>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30"/>
      <c r="E859" s="30"/>
      <c r="F859" s="30"/>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30"/>
      <c r="E860" s="30"/>
      <c r="F860" s="30"/>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30"/>
      <c r="E861" s="30"/>
      <c r="F861" s="30"/>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30"/>
      <c r="E862" s="30"/>
      <c r="F862" s="30"/>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30"/>
      <c r="E863" s="30"/>
      <c r="F863" s="30"/>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30"/>
      <c r="E864" s="30"/>
      <c r="F864" s="30"/>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30"/>
      <c r="E865" s="30"/>
      <c r="F865" s="30"/>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30"/>
      <c r="E866" s="30"/>
      <c r="F866" s="30"/>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30"/>
      <c r="E867" s="30"/>
      <c r="F867" s="30"/>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30"/>
      <c r="E868" s="30"/>
      <c r="F868" s="30"/>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30"/>
      <c r="E869" s="30"/>
      <c r="F869" s="30"/>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30"/>
      <c r="E870" s="30"/>
      <c r="F870" s="30"/>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30"/>
      <c r="E871" s="30"/>
      <c r="F871" s="30"/>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30"/>
      <c r="E872" s="30"/>
      <c r="F872" s="30"/>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30"/>
      <c r="E873" s="30"/>
      <c r="F873" s="30"/>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30"/>
      <c r="E874" s="30"/>
      <c r="F874" s="30"/>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30"/>
      <c r="E875" s="30"/>
      <c r="F875" s="30"/>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30"/>
      <c r="E876" s="30"/>
      <c r="F876" s="30"/>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30"/>
      <c r="E877" s="30"/>
      <c r="F877" s="30"/>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30"/>
      <c r="E878" s="30"/>
      <c r="F878" s="30"/>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30"/>
      <c r="E879" s="30"/>
      <c r="F879" s="30"/>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30"/>
      <c r="E880" s="30"/>
      <c r="F880" s="30"/>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30"/>
      <c r="E881" s="30"/>
      <c r="F881" s="30"/>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30"/>
      <c r="E882" s="30"/>
      <c r="F882" s="30"/>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30"/>
      <c r="E883" s="30"/>
      <c r="F883" s="30"/>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30"/>
      <c r="E884" s="30"/>
      <c r="F884" s="30"/>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30"/>
      <c r="E885" s="30"/>
      <c r="F885" s="30"/>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30"/>
      <c r="E886" s="30"/>
      <c r="F886" s="30"/>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30"/>
      <c r="E887" s="30"/>
      <c r="F887" s="30"/>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30"/>
      <c r="E888" s="30"/>
      <c r="F888" s="30"/>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30"/>
      <c r="E889" s="30"/>
      <c r="F889" s="30"/>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30"/>
      <c r="E890" s="30"/>
      <c r="F890" s="30"/>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30"/>
      <c r="E891" s="30"/>
      <c r="F891" s="30"/>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30"/>
      <c r="E892" s="30"/>
      <c r="F892" s="30"/>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30"/>
      <c r="E893" s="30"/>
      <c r="F893" s="30"/>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30"/>
      <c r="E894" s="30"/>
      <c r="F894" s="30"/>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30"/>
      <c r="E895" s="30"/>
      <c r="F895" s="30"/>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30"/>
      <c r="E896" s="30"/>
      <c r="F896" s="30"/>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30"/>
      <c r="E897" s="30"/>
      <c r="F897" s="30"/>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30"/>
      <c r="E898" s="30"/>
      <c r="F898" s="30"/>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30"/>
      <c r="E899" s="30"/>
      <c r="F899" s="30"/>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30"/>
      <c r="E900" s="30"/>
      <c r="F900" s="30"/>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30"/>
      <c r="E901" s="30"/>
      <c r="F901" s="30"/>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30"/>
      <c r="E902" s="30"/>
      <c r="F902" s="30"/>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30"/>
      <c r="E903" s="30"/>
      <c r="F903" s="30"/>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30"/>
      <c r="E904" s="30"/>
      <c r="F904" s="30"/>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30"/>
      <c r="E905" s="30"/>
      <c r="F905" s="30"/>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30"/>
      <c r="E906" s="30"/>
      <c r="F906" s="30"/>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30"/>
      <c r="E907" s="30"/>
      <c r="F907" s="30"/>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30"/>
      <c r="E908" s="30"/>
      <c r="F908" s="30"/>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30"/>
      <c r="E909" s="30"/>
      <c r="F909" s="30"/>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30"/>
      <c r="E910" s="30"/>
      <c r="F910" s="30"/>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30"/>
      <c r="E911" s="30"/>
      <c r="F911" s="30"/>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30"/>
      <c r="E912" s="30"/>
      <c r="F912" s="30"/>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30"/>
      <c r="E913" s="30"/>
      <c r="F913" s="30"/>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30"/>
      <c r="E914" s="30"/>
      <c r="F914" s="30"/>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30"/>
      <c r="E915" s="30"/>
      <c r="F915" s="30"/>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30"/>
      <c r="E916" s="30"/>
      <c r="F916" s="30"/>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30"/>
      <c r="E917" s="30"/>
      <c r="F917" s="30"/>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30"/>
      <c r="E918" s="30"/>
      <c r="F918" s="30"/>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30"/>
      <c r="E919" s="30"/>
      <c r="F919" s="30"/>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30"/>
      <c r="E920" s="30"/>
      <c r="F920" s="30"/>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30"/>
      <c r="E921" s="30"/>
      <c r="F921" s="30"/>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30"/>
      <c r="E922" s="30"/>
      <c r="F922" s="30"/>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30"/>
      <c r="E923" s="30"/>
      <c r="F923" s="30"/>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30"/>
      <c r="E924" s="30"/>
      <c r="F924" s="30"/>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30"/>
      <c r="E925" s="30"/>
      <c r="F925" s="30"/>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30"/>
      <c r="E926" s="30"/>
      <c r="F926" s="30"/>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30"/>
      <c r="E927" s="30"/>
      <c r="F927" s="30"/>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30"/>
      <c r="E928" s="30"/>
      <c r="F928" s="30"/>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30"/>
      <c r="E929" s="30"/>
      <c r="F929" s="30"/>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30"/>
      <c r="E930" s="30"/>
      <c r="F930" s="30"/>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30"/>
      <c r="E931" s="30"/>
      <c r="F931" s="30"/>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30"/>
      <c r="E932" s="30"/>
      <c r="F932" s="30"/>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30"/>
      <c r="E933" s="30"/>
      <c r="F933" s="30"/>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30"/>
      <c r="E934" s="30"/>
      <c r="F934" s="30"/>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30"/>
      <c r="E935" s="30"/>
      <c r="F935" s="30"/>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30"/>
      <c r="E936" s="30"/>
      <c r="F936" s="30"/>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30"/>
      <c r="E937" s="30"/>
      <c r="F937" s="30"/>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30"/>
      <c r="E938" s="30"/>
      <c r="F938" s="30"/>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30"/>
      <c r="E939" s="30"/>
      <c r="F939" s="30"/>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30"/>
      <c r="E940" s="30"/>
      <c r="F940" s="30"/>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30"/>
      <c r="E941" s="30"/>
      <c r="F941" s="30"/>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30"/>
      <c r="E942" s="30"/>
      <c r="F942" s="30"/>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30"/>
      <c r="E943" s="30"/>
      <c r="F943" s="30"/>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30"/>
      <c r="E944" s="30"/>
      <c r="F944" s="30"/>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30"/>
      <c r="E945" s="30"/>
      <c r="F945" s="30"/>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30"/>
      <c r="E946" s="30"/>
      <c r="F946" s="30"/>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30"/>
      <c r="E947" s="30"/>
      <c r="F947" s="30"/>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30"/>
      <c r="E948" s="30"/>
      <c r="F948" s="30"/>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30"/>
      <c r="E949" s="30"/>
      <c r="F949" s="30"/>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30"/>
      <c r="E950" s="30"/>
      <c r="F950" s="30"/>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30"/>
      <c r="E951" s="30"/>
      <c r="F951" s="30"/>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30"/>
      <c r="E952" s="30"/>
      <c r="F952" s="30"/>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30"/>
      <c r="E953" s="30"/>
      <c r="F953" s="30"/>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30"/>
      <c r="E954" s="30"/>
      <c r="F954" s="30"/>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30"/>
      <c r="E955" s="30"/>
      <c r="F955" s="30"/>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30"/>
      <c r="E956" s="30"/>
      <c r="F956" s="30"/>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30"/>
      <c r="E957" s="30"/>
      <c r="F957" s="30"/>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30"/>
      <c r="E958" s="30"/>
      <c r="F958" s="30"/>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30"/>
      <c r="E959" s="30"/>
      <c r="F959" s="30"/>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30"/>
      <c r="E960" s="30"/>
      <c r="F960" s="30"/>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30"/>
      <c r="E961" s="30"/>
      <c r="F961" s="30"/>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30"/>
      <c r="E962" s="30"/>
      <c r="F962" s="30"/>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30"/>
      <c r="E963" s="30"/>
      <c r="F963" s="30"/>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30"/>
      <c r="E964" s="30"/>
      <c r="F964" s="30"/>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30"/>
      <c r="E965" s="30"/>
      <c r="F965" s="30"/>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30"/>
      <c r="E966" s="30"/>
      <c r="F966" s="30"/>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30"/>
      <c r="E967" s="30"/>
      <c r="F967" s="30"/>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30"/>
      <c r="E968" s="30"/>
      <c r="F968" s="30"/>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30"/>
      <c r="E969" s="30"/>
      <c r="F969" s="30"/>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30"/>
      <c r="E970" s="30"/>
      <c r="F970" s="30"/>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30"/>
      <c r="E971" s="30"/>
      <c r="F971" s="30"/>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30"/>
      <c r="E972" s="30"/>
      <c r="F972" s="30"/>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30"/>
      <c r="E973" s="30"/>
      <c r="F973" s="30"/>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30"/>
      <c r="E974" s="30"/>
      <c r="F974" s="30"/>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30"/>
      <c r="E975" s="30"/>
      <c r="F975" s="30"/>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30"/>
      <c r="E976" s="30"/>
      <c r="F976" s="30"/>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30"/>
      <c r="E977" s="30"/>
      <c r="F977" s="30"/>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30"/>
      <c r="E978" s="30"/>
      <c r="F978" s="30"/>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30"/>
      <c r="E979" s="30"/>
      <c r="F979" s="30"/>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30"/>
      <c r="E980" s="30"/>
      <c r="F980" s="30"/>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30"/>
      <c r="E981" s="30"/>
      <c r="F981" s="30"/>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30"/>
      <c r="E982" s="30"/>
      <c r="F982" s="30"/>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30"/>
      <c r="E983" s="30"/>
      <c r="F983" s="30"/>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30"/>
      <c r="E984" s="30"/>
      <c r="F984" s="30"/>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30"/>
      <c r="E985" s="30"/>
      <c r="F985" s="30"/>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30"/>
      <c r="E986" s="30"/>
      <c r="F986" s="30"/>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30"/>
      <c r="E987" s="30"/>
      <c r="F987" s="30"/>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30"/>
      <c r="E988" s="30"/>
      <c r="F988" s="30"/>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30"/>
      <c r="E989" s="30"/>
      <c r="F989" s="30"/>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30"/>
      <c r="E990" s="30"/>
      <c r="F990" s="30"/>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30"/>
      <c r="E991" s="30"/>
      <c r="F991" s="30"/>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30"/>
      <c r="E992" s="30"/>
      <c r="F992" s="30"/>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30"/>
      <c r="E993" s="30"/>
      <c r="F993" s="30"/>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30"/>
      <c r="E994" s="30"/>
      <c r="F994" s="30"/>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30"/>
      <c r="E995" s="30"/>
      <c r="F995" s="30"/>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30"/>
      <c r="E996" s="30"/>
      <c r="F996" s="30"/>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30"/>
      <c r="E997" s="30"/>
      <c r="F997" s="30"/>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30"/>
      <c r="E998" s="30"/>
      <c r="F998" s="30"/>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30"/>
      <c r="E999" s="30"/>
      <c r="F999" s="30"/>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30"/>
      <c r="E1000" s="30"/>
      <c r="F1000" s="30"/>
      <c r="G1000" s="2"/>
      <c r="H1000" s="2"/>
      <c r="I1000" s="2"/>
      <c r="J1000" s="2"/>
      <c r="K1000" s="2"/>
      <c r="L1000" s="2"/>
      <c r="M1000" s="2"/>
      <c r="N1000" s="2"/>
      <c r="O1000" s="2"/>
      <c r="P1000" s="2"/>
      <c r="Q1000" s="2"/>
      <c r="R1000" s="2"/>
      <c r="S1000" s="2"/>
      <c r="T1000" s="2"/>
      <c r="U1000" s="2"/>
      <c r="V1000" s="2"/>
      <c r="W1000" s="2"/>
      <c r="X1000" s="2"/>
      <c r="Y1000" s="2"/>
      <c r="Z1000" s="2"/>
    </row>
  </sheetData>
  <mergeCells count="11">
    <mergeCell ref="D6:E6"/>
    <mergeCell ref="B23:X23"/>
    <mergeCell ref="T7:U7"/>
    <mergeCell ref="R7:S7"/>
    <mergeCell ref="B43:X43"/>
    <mergeCell ref="B13:X13"/>
    <mergeCell ref="M6:P6"/>
    <mergeCell ref="B33:X33"/>
    <mergeCell ref="G6:K6"/>
    <mergeCell ref="V7:X7"/>
    <mergeCell ref="R6:X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4" width="10.7109375" style="151" customWidth="1"/>
    <col min="5" max="5" width="10" style="151" customWidth="1"/>
    <col min="6" max="6" width="0.85546875" style="151" customWidth="1"/>
    <col min="7" max="10" width="9.7109375" style="151" customWidth="1"/>
    <col min="11" max="11" width="0.85546875" style="151" customWidth="1"/>
    <col min="12" max="14" width="9.7109375" style="151" customWidth="1"/>
    <col min="15" max="15" width="0.85546875" style="151" customWidth="1"/>
    <col min="16" max="18" width="9.7109375" style="151" customWidth="1"/>
    <col min="19" max="19" width="0.85546875" style="151" customWidth="1"/>
    <col min="20" max="21" width="9.7109375" style="151" customWidth="1"/>
    <col min="22" max="22" width="0.85546875" style="151" customWidth="1"/>
    <col min="23" max="26" width="8" style="151" customWidth="1"/>
  </cols>
  <sheetData>
    <row r="1" spans="1:26" ht="26.25" customHeight="1" x14ac:dyDescent="0.4">
      <c r="A1" s="17" t="s">
        <v>14</v>
      </c>
      <c r="B1" s="18"/>
      <c r="C1" s="18"/>
      <c r="D1" s="18"/>
      <c r="E1" s="18"/>
      <c r="F1" s="18"/>
      <c r="G1" s="18"/>
      <c r="H1" s="18"/>
      <c r="I1" s="18"/>
      <c r="J1" s="18"/>
      <c r="K1" s="18"/>
      <c r="L1" s="18"/>
      <c r="M1" s="18"/>
      <c r="N1" s="18"/>
      <c r="O1" s="18"/>
      <c r="P1" s="18"/>
      <c r="Q1" s="18"/>
      <c r="R1" s="18"/>
      <c r="S1" s="18"/>
      <c r="T1" s="18"/>
      <c r="U1" s="18"/>
      <c r="V1" s="24"/>
      <c r="W1" s="2"/>
      <c r="X1" s="2"/>
      <c r="Y1" s="2"/>
      <c r="Z1" s="2"/>
    </row>
    <row r="2" spans="1:26" ht="18" customHeight="1" x14ac:dyDescent="0.25">
      <c r="A2" s="21" t="s">
        <v>54</v>
      </c>
      <c r="B2" s="21"/>
      <c r="C2" s="21"/>
      <c r="D2" s="21"/>
      <c r="E2" s="21"/>
      <c r="F2" s="21"/>
      <c r="G2" s="18"/>
      <c r="H2" s="18"/>
      <c r="I2" s="18"/>
      <c r="J2" s="18"/>
      <c r="K2" s="18"/>
      <c r="L2" s="18"/>
      <c r="M2" s="18"/>
      <c r="N2" s="18"/>
      <c r="O2" s="18"/>
      <c r="P2" s="18"/>
      <c r="Q2" s="18"/>
      <c r="R2" s="18"/>
      <c r="S2" s="18"/>
      <c r="T2" s="18"/>
      <c r="U2" s="18"/>
      <c r="V2" s="24"/>
      <c r="W2" s="2"/>
      <c r="X2" s="2"/>
      <c r="Y2" s="2"/>
      <c r="Z2" s="2"/>
    </row>
    <row r="3" spans="1:26" ht="12.75" customHeight="1" x14ac:dyDescent="0.2">
      <c r="A3" s="22" t="s">
        <v>16</v>
      </c>
      <c r="B3" s="18"/>
      <c r="C3" s="18"/>
      <c r="D3" s="18"/>
      <c r="E3" s="18"/>
      <c r="F3" s="18"/>
      <c r="G3" s="18"/>
      <c r="H3" s="18"/>
      <c r="I3" s="18"/>
      <c r="J3" s="18"/>
      <c r="K3" s="18"/>
      <c r="L3" s="18"/>
      <c r="M3" s="18"/>
      <c r="N3" s="18"/>
      <c r="O3" s="18"/>
      <c r="P3" s="18"/>
      <c r="Q3" s="18"/>
      <c r="R3" s="18"/>
      <c r="S3" s="18"/>
      <c r="T3" s="18"/>
      <c r="U3" s="18"/>
      <c r="V3" s="24"/>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2"/>
      <c r="B5" s="2"/>
      <c r="C5" s="2"/>
      <c r="D5" s="2"/>
      <c r="E5" s="2"/>
      <c r="F5" s="2"/>
      <c r="G5" s="28"/>
      <c r="H5" s="28"/>
      <c r="I5" s="28"/>
      <c r="J5" s="28"/>
      <c r="K5" s="2"/>
      <c r="L5" s="28"/>
      <c r="M5" s="28"/>
      <c r="N5" s="28"/>
      <c r="O5" s="28"/>
      <c r="P5" s="28"/>
      <c r="Q5" s="28"/>
      <c r="R5" s="28"/>
      <c r="S5" s="28"/>
      <c r="T5" s="2"/>
      <c r="U5" s="28"/>
      <c r="V5" s="28"/>
      <c r="W5" s="2"/>
      <c r="X5" s="2"/>
      <c r="Y5" s="2"/>
      <c r="Z5" s="2"/>
    </row>
    <row r="6" spans="1:26" ht="15" customHeight="1" x14ac:dyDescent="0.2">
      <c r="A6" s="2"/>
      <c r="B6" s="2"/>
      <c r="C6" s="2"/>
      <c r="D6" s="264" t="s">
        <v>55</v>
      </c>
      <c r="E6" s="263"/>
      <c r="F6" s="2"/>
      <c r="G6" s="264" t="s">
        <v>56</v>
      </c>
      <c r="H6" s="263"/>
      <c r="I6" s="263"/>
      <c r="J6" s="263"/>
      <c r="K6" s="2"/>
      <c r="L6" s="264" t="s">
        <v>57</v>
      </c>
      <c r="M6" s="263"/>
      <c r="N6" s="263"/>
      <c r="O6" s="28"/>
      <c r="P6" s="264" t="s">
        <v>58</v>
      </c>
      <c r="Q6" s="263"/>
      <c r="R6" s="263"/>
      <c r="S6" s="64"/>
      <c r="T6" s="264" t="s">
        <v>59</v>
      </c>
      <c r="U6" s="263"/>
      <c r="V6" s="28"/>
      <c r="W6" s="2"/>
      <c r="X6" s="2"/>
      <c r="Y6" s="2"/>
      <c r="Z6" s="2"/>
    </row>
    <row r="7" spans="1:26" ht="12.75" customHeight="1" x14ac:dyDescent="0.2">
      <c r="A7" s="28"/>
      <c r="B7" s="28"/>
      <c r="C7" s="28"/>
      <c r="D7" s="28"/>
      <c r="E7" s="27"/>
      <c r="F7" s="28"/>
      <c r="G7" s="27"/>
      <c r="H7" s="27"/>
      <c r="I7" s="27"/>
      <c r="J7" s="27" t="s">
        <v>60</v>
      </c>
      <c r="K7" s="28"/>
      <c r="L7" s="27" t="s">
        <v>61</v>
      </c>
      <c r="M7" s="27" t="s">
        <v>62</v>
      </c>
      <c r="N7" s="27" t="s">
        <v>63</v>
      </c>
      <c r="O7" s="27"/>
      <c r="P7" s="27" t="s">
        <v>64</v>
      </c>
      <c r="Q7" s="27" t="s">
        <v>31</v>
      </c>
      <c r="R7" s="27" t="s">
        <v>65</v>
      </c>
      <c r="S7" s="27"/>
      <c r="T7" s="27"/>
      <c r="U7" s="28"/>
      <c r="V7" s="28"/>
      <c r="W7" s="28"/>
      <c r="X7" s="28"/>
      <c r="Y7" s="28"/>
      <c r="Z7" s="28"/>
    </row>
    <row r="8" spans="1:26" ht="12.75" customHeight="1" x14ac:dyDescent="0.2">
      <c r="A8" s="28"/>
      <c r="B8" s="28"/>
      <c r="C8" s="28"/>
      <c r="D8" s="27"/>
      <c r="E8" s="27" t="s">
        <v>66</v>
      </c>
      <c r="F8" s="28"/>
      <c r="G8" s="27" t="s">
        <v>67</v>
      </c>
      <c r="H8" s="27" t="s">
        <v>68</v>
      </c>
      <c r="I8" s="27" t="s">
        <v>69</v>
      </c>
      <c r="J8" s="27" t="s">
        <v>70</v>
      </c>
      <c r="K8" s="28"/>
      <c r="L8" s="27" t="s">
        <v>71</v>
      </c>
      <c r="M8" s="27" t="s">
        <v>31</v>
      </c>
      <c r="N8" s="27" t="s">
        <v>31</v>
      </c>
      <c r="O8" s="27"/>
      <c r="P8" s="27" t="s">
        <v>72</v>
      </c>
      <c r="Q8" s="27" t="s">
        <v>73</v>
      </c>
      <c r="R8" s="27" t="s">
        <v>72</v>
      </c>
      <c r="S8" s="27"/>
      <c r="T8" s="27"/>
      <c r="U8" s="27"/>
      <c r="V8" s="28"/>
      <c r="W8" s="28"/>
      <c r="X8" s="28"/>
      <c r="Y8" s="28"/>
      <c r="Z8" s="28"/>
    </row>
    <row r="9" spans="1:26" ht="15" customHeight="1" x14ac:dyDescent="0.2">
      <c r="A9" s="28"/>
      <c r="B9" s="29" t="s">
        <v>5</v>
      </c>
      <c r="C9" s="152" t="s">
        <v>20</v>
      </c>
      <c r="D9" s="152" t="s">
        <v>74</v>
      </c>
      <c r="E9" s="152" t="s">
        <v>75</v>
      </c>
      <c r="F9" s="152"/>
      <c r="G9" s="152" t="s">
        <v>39</v>
      </c>
      <c r="H9" s="152" t="s">
        <v>39</v>
      </c>
      <c r="I9" s="152" t="s">
        <v>39</v>
      </c>
      <c r="J9" s="152" t="s">
        <v>39</v>
      </c>
      <c r="K9" s="28"/>
      <c r="L9" s="152" t="s">
        <v>39</v>
      </c>
      <c r="M9" s="152" t="s">
        <v>76</v>
      </c>
      <c r="N9" s="152" t="s">
        <v>76</v>
      </c>
      <c r="O9" s="152"/>
      <c r="P9" s="152" t="s">
        <v>76</v>
      </c>
      <c r="Q9" s="152" t="s">
        <v>76</v>
      </c>
      <c r="R9" s="152" t="s">
        <v>76</v>
      </c>
      <c r="S9" s="152"/>
      <c r="T9" s="152" t="s">
        <v>77</v>
      </c>
      <c r="U9" s="152" t="s">
        <v>78</v>
      </c>
      <c r="V9" s="28"/>
      <c r="W9" s="28"/>
      <c r="X9" s="28"/>
      <c r="Y9" s="28"/>
      <c r="Z9" s="28"/>
    </row>
    <row r="10" spans="1:26" ht="3.75" customHeight="1" x14ac:dyDescent="0.2">
      <c r="A10" s="2"/>
      <c r="B10" s="2"/>
      <c r="C10" s="27"/>
      <c r="D10" s="27"/>
      <c r="E10" s="27"/>
      <c r="F10" s="27"/>
      <c r="G10" s="2"/>
      <c r="H10" s="2"/>
      <c r="I10" s="2"/>
      <c r="J10" s="2"/>
      <c r="K10" s="2"/>
      <c r="L10" s="2"/>
      <c r="M10" s="2"/>
      <c r="N10" s="2"/>
      <c r="O10" s="2"/>
      <c r="P10" s="2"/>
      <c r="Q10" s="2"/>
      <c r="R10" s="2"/>
      <c r="S10" s="2"/>
      <c r="T10" s="2"/>
      <c r="U10" s="2"/>
      <c r="V10" s="2"/>
      <c r="W10" s="2"/>
      <c r="X10" s="2"/>
      <c r="Y10" s="2"/>
      <c r="Z10" s="2"/>
    </row>
    <row r="11" spans="1:26" ht="12.75" customHeight="1" x14ac:dyDescent="0.2">
      <c r="A11" s="28"/>
      <c r="B11" s="28" t="str">
        <f>TargetCo!$E$7</f>
        <v>Ngân hàng Thương mại Cổ phần Đầu tư và Phát triển Việt Nam</v>
      </c>
      <c r="C11" s="28" t="str">
        <f>TargetCo!$E$8</f>
        <v>BID</v>
      </c>
      <c r="D11" s="65">
        <f>TargetCo!$E$10</f>
        <v>46022</v>
      </c>
      <c r="E11" s="66">
        <f>TargetCo!$E$13</f>
        <v>1</v>
      </c>
      <c r="F11" s="28"/>
      <c r="G11" s="33">
        <f>TargetCo!$E$45</f>
        <v>0.38165840502294274</v>
      </c>
      <c r="H11" s="33">
        <f>TargetCo!$E$46</f>
        <v>0.33216179003528051</v>
      </c>
      <c r="I11" s="33">
        <f>TargetCo!$E$47</f>
        <v>1.808055525470716E-2</v>
      </c>
      <c r="J11" s="33">
        <f>TargetCo!$E$48</f>
        <v>0</v>
      </c>
      <c r="K11" s="33"/>
      <c r="L11" s="33">
        <f>TargetCo!$E$51</f>
        <v>0</v>
      </c>
      <c r="M11" s="48">
        <f>TargetCo!$E$52</f>
        <v>0</v>
      </c>
      <c r="N11" s="48">
        <f>TargetCo!$E$53</f>
        <v>0</v>
      </c>
      <c r="O11" s="48"/>
      <c r="P11" s="48">
        <f>TargetCo!$E$54</f>
        <v>0</v>
      </c>
      <c r="Q11" s="48">
        <f>TargetCo!$E$55</f>
        <v>0</v>
      </c>
      <c r="R11" s="48">
        <f>TargetCo!$E$56</f>
        <v>0</v>
      </c>
      <c r="S11" s="50"/>
      <c r="T11" s="48" t="str">
        <f>TargetCo!$E$11</f>
        <v>NA</v>
      </c>
      <c r="U11" s="48" t="str">
        <f>TargetCo!$E$12</f>
        <v>NA</v>
      </c>
      <c r="V11" s="27"/>
      <c r="W11" s="28"/>
      <c r="X11" s="28"/>
      <c r="Y11" s="28"/>
      <c r="Z11" s="28"/>
    </row>
    <row r="12" spans="1:26" ht="12.75" customHeight="1" x14ac:dyDescent="0.2">
      <c r="A12" s="2"/>
      <c r="B12" s="2"/>
      <c r="C12" s="2"/>
      <c r="D12" s="2"/>
      <c r="E12" s="2"/>
      <c r="F12" s="2"/>
      <c r="G12" s="37"/>
      <c r="H12" s="37"/>
      <c r="I12" s="37"/>
      <c r="J12" s="37"/>
      <c r="K12" s="30"/>
      <c r="L12" s="37"/>
      <c r="M12" s="37"/>
      <c r="N12" s="37"/>
      <c r="O12" s="37"/>
      <c r="P12" s="37"/>
      <c r="Q12" s="37"/>
      <c r="R12" s="37"/>
      <c r="S12" s="37"/>
      <c r="T12" s="67"/>
      <c r="U12" s="67"/>
      <c r="V12" s="30"/>
      <c r="W12" s="2"/>
      <c r="X12" s="2"/>
      <c r="Y12" s="2"/>
      <c r="Z12" s="2"/>
    </row>
    <row r="13" spans="1:26" ht="15" customHeight="1" x14ac:dyDescent="0.2">
      <c r="A13" s="2"/>
      <c r="B13" s="265" t="s">
        <v>42</v>
      </c>
      <c r="C13" s="263"/>
      <c r="D13" s="263"/>
      <c r="E13" s="263"/>
      <c r="F13" s="263"/>
      <c r="G13" s="263"/>
      <c r="H13" s="263"/>
      <c r="I13" s="263"/>
      <c r="J13" s="263"/>
      <c r="K13" s="263"/>
      <c r="L13" s="263"/>
      <c r="M13" s="263"/>
      <c r="N13" s="263"/>
      <c r="O13" s="263"/>
      <c r="P13" s="263"/>
      <c r="Q13" s="263"/>
      <c r="R13" s="263"/>
      <c r="S13" s="263"/>
      <c r="T13" s="263"/>
      <c r="U13" s="263"/>
      <c r="V13" s="30"/>
      <c r="W13" s="2"/>
      <c r="X13" s="2"/>
      <c r="Y13" s="2"/>
      <c r="Z13" s="2"/>
    </row>
    <row r="14" spans="1:26" ht="12.75" customHeight="1" x14ac:dyDescent="0.2">
      <c r="A14" s="2"/>
      <c r="B14" s="2" t="str">
        <f>'CompCo 1'!$E$7</f>
        <v>Ngân hàng Thương mại Cổ phần Ngoại thương Việt Nam</v>
      </c>
      <c r="C14" s="2" t="str">
        <f>'CompCo 1'!$E$8</f>
        <v>VCB</v>
      </c>
      <c r="D14" s="68">
        <f>'CompCo 1'!$E$10</f>
        <v>46022</v>
      </c>
      <c r="E14" s="69">
        <f>'CompCo 1'!$E$13</f>
        <v>1</v>
      </c>
      <c r="F14" s="2"/>
      <c r="G14" s="39">
        <f>'CompCo 1'!$E$45</f>
        <v>0.22440791549556774</v>
      </c>
      <c r="H14" s="39">
        <f>'CompCo 1'!$E$46</f>
        <v>0.18238011762370823</v>
      </c>
      <c r="I14" s="39">
        <f>'CompCo 1'!$E$47</f>
        <v>1.7395155013358556E-2</v>
      </c>
      <c r="J14" s="39">
        <f>'CompCo 1'!$E$48</f>
        <v>0</v>
      </c>
      <c r="K14" s="39"/>
      <c r="L14" s="39">
        <f>'CompCo 1'!$E$51</f>
        <v>0</v>
      </c>
      <c r="M14" s="67">
        <f>'CompCo 1'!$E$52</f>
        <v>0</v>
      </c>
      <c r="N14" s="67">
        <f>'CompCo 1'!$E$53</f>
        <v>0</v>
      </c>
      <c r="O14" s="67"/>
      <c r="P14" s="67">
        <f>'CompCo 1'!$E$54</f>
        <v>0</v>
      </c>
      <c r="Q14" s="67">
        <f>'CompCo 1'!$E$55</f>
        <v>0</v>
      </c>
      <c r="R14" s="67">
        <f>'CompCo 1'!$E$56</f>
        <v>0</v>
      </c>
      <c r="S14" s="37"/>
      <c r="T14" s="67" t="str">
        <f>'CompCo 1'!$E$11</f>
        <v>NA</v>
      </c>
      <c r="U14" s="67" t="str">
        <f>'CompCo 1'!$E$12</f>
        <v>NA</v>
      </c>
      <c r="V14" s="30"/>
      <c r="W14" s="2"/>
      <c r="X14" s="2"/>
      <c r="Y14" s="2"/>
      <c r="Z14" s="2"/>
    </row>
    <row r="15" spans="1:26" ht="12.75" customHeight="1" x14ac:dyDescent="0.2">
      <c r="A15" s="2"/>
      <c r="B15" s="2" t="str">
        <f>'CompCo 2'!$E$7</f>
        <v>Ngân hàng Thương mại Cổ phần Công thương Việt Nam</v>
      </c>
      <c r="C15" s="2" t="str">
        <f>'CompCo 2'!$E$8</f>
        <v>CTG</v>
      </c>
      <c r="D15" s="68">
        <f>'CompCo 2'!$E$10</f>
        <v>46022</v>
      </c>
      <c r="E15" s="69">
        <f>'CompCo 2'!$E$13</f>
        <v>1</v>
      </c>
      <c r="F15" s="2"/>
      <c r="G15" s="39">
        <f>'CompCo 2'!$E$45</f>
        <v>0.37019696564641985</v>
      </c>
      <c r="H15" s="39">
        <f>'CompCo 2'!$E$46</f>
        <v>0.31632485612272582</v>
      </c>
      <c r="I15" s="39">
        <f>'CompCo 2'!$E$47</f>
        <v>2.0516057995490968E-2</v>
      </c>
      <c r="J15" s="39">
        <f>'CompCo 2'!$E$48</f>
        <v>0</v>
      </c>
      <c r="K15" s="39"/>
      <c r="L15" s="39">
        <f>'CompCo 2'!$E$51</f>
        <v>0</v>
      </c>
      <c r="M15" s="67">
        <f>'CompCo 2'!$E$52</f>
        <v>0</v>
      </c>
      <c r="N15" s="67">
        <f>'CompCo 2'!$E$53</f>
        <v>0</v>
      </c>
      <c r="O15" s="67"/>
      <c r="P15" s="67">
        <f>'CompCo 2'!$E$54</f>
        <v>0</v>
      </c>
      <c r="Q15" s="67">
        <f>'CompCo 2'!$E$55</f>
        <v>0</v>
      </c>
      <c r="R15" s="67">
        <f>'CompCo 2'!$E$56</f>
        <v>0</v>
      </c>
      <c r="S15" s="37"/>
      <c r="T15" s="67" t="str">
        <f>'CompCo 2'!$E$11</f>
        <v>NA</v>
      </c>
      <c r="U15" s="67" t="str">
        <f>'CompCo 2'!$E$12</f>
        <v>NA</v>
      </c>
      <c r="V15" s="30"/>
      <c r="W15" s="2"/>
      <c r="X15" s="2"/>
      <c r="Y15" s="2"/>
      <c r="Z15" s="2"/>
    </row>
    <row r="16" spans="1:26" ht="12.75" customHeight="1" x14ac:dyDescent="0.2">
      <c r="A16" s="2"/>
      <c r="B16" s="2" t="str">
        <f>'CompCo 3'!$E$7</f>
        <v>Ngân hàng Thương mại Cổ phần Quân đội</v>
      </c>
      <c r="C16" s="2" t="str">
        <f>'CompCo 3'!$E$8</f>
        <v>MBB</v>
      </c>
      <c r="D16" s="68">
        <f>'CompCo 3'!$E$10</f>
        <v>46022</v>
      </c>
      <c r="E16" s="69">
        <f>'CompCo 3'!$E$13</f>
        <v>1</v>
      </c>
      <c r="F16" s="2"/>
      <c r="G16" s="39">
        <f>'CompCo 3'!$E$45</f>
        <v>0.37063047495839024</v>
      </c>
      <c r="H16" s="39">
        <f>'CompCo 3'!$E$46</f>
        <v>0.31281545163910318</v>
      </c>
      <c r="I16" s="39">
        <f>'CompCo 3'!$E$47</f>
        <v>3.0722905839502834E-2</v>
      </c>
      <c r="J16" s="39">
        <f>'CompCo 3'!$E$48</f>
        <v>8.0971659919028341E-2</v>
      </c>
      <c r="K16" s="39"/>
      <c r="L16" s="39">
        <f>'CompCo 3'!$E$51</f>
        <v>0</v>
      </c>
      <c r="M16" s="67">
        <f>'CompCo 3'!$E$52</f>
        <v>0</v>
      </c>
      <c r="N16" s="67">
        <f>'CompCo 3'!$E$53</f>
        <v>0</v>
      </c>
      <c r="O16" s="67"/>
      <c r="P16" s="67">
        <f>'CompCo 3'!$E$54</f>
        <v>0</v>
      </c>
      <c r="Q16" s="67">
        <f>'CompCo 3'!$E$55</f>
        <v>0</v>
      </c>
      <c r="R16" s="67">
        <f>'CompCo 3'!$E$56</f>
        <v>0</v>
      </c>
      <c r="S16" s="37"/>
      <c r="T16" s="67" t="str">
        <f>'CompCo 3'!$E$11</f>
        <v>NA</v>
      </c>
      <c r="U16" s="67" t="str">
        <f>'CompCo 3'!$E$12</f>
        <v>NA</v>
      </c>
      <c r="V16" s="30"/>
      <c r="W16" s="2"/>
      <c r="X16" s="2"/>
      <c r="Y16" s="2"/>
      <c r="Z16" s="2"/>
    </row>
    <row r="17" spans="1:26" ht="12.75" customHeight="1" x14ac:dyDescent="0.2">
      <c r="A17" s="2"/>
      <c r="B17" s="2" t="str">
        <f>'CompCo 4'!$E$7</f>
        <v>Ngân hàng Thương mại Cổ phần Kỹ thương Việt Nam</v>
      </c>
      <c r="C17" s="2" t="str">
        <f>'CompCo 4'!$E$8</f>
        <v>TCB</v>
      </c>
      <c r="D17" s="68">
        <f>'CompCo 4'!$E$10</f>
        <v>46022</v>
      </c>
      <c r="E17" s="69">
        <f>'CompCo 4'!$E$13</f>
        <v>1</v>
      </c>
      <c r="F17" s="2"/>
      <c r="G17" s="39">
        <f>'CompCo 4'!$E$45</f>
        <v>0.22574255447002381</v>
      </c>
      <c r="H17" s="39">
        <f>'CompCo 4'!$E$46</f>
        <v>0.18147299381324083</v>
      </c>
      <c r="I17" s="39">
        <f>'CompCo 4'!$E$47</f>
        <v>2.9316819791660505E-2</v>
      </c>
      <c r="J17" s="39">
        <f>'CompCo 4'!$E$48</f>
        <v>9.0468497576736667E-2</v>
      </c>
      <c r="K17" s="39"/>
      <c r="L17" s="39">
        <f>'CompCo 4'!$E$51</f>
        <v>0</v>
      </c>
      <c r="M17" s="67">
        <f>'CompCo 4'!$E$52</f>
        <v>0</v>
      </c>
      <c r="N17" s="67">
        <f>'CompCo 4'!$E$53</f>
        <v>0</v>
      </c>
      <c r="O17" s="67"/>
      <c r="P17" s="67">
        <f>'CompCo 4'!$E$54</f>
        <v>0</v>
      </c>
      <c r="Q17" s="67">
        <f>'CompCo 4'!$E$55</f>
        <v>0</v>
      </c>
      <c r="R17" s="67">
        <f>'CompCo 4'!$E$56</f>
        <v>0</v>
      </c>
      <c r="S17" s="37"/>
      <c r="T17" s="67" t="str">
        <f>'CompCo 4'!$E$11</f>
        <v>NA</v>
      </c>
      <c r="U17" s="67" t="str">
        <f>'CompCo 4'!$E$12</f>
        <v>NA</v>
      </c>
      <c r="V17" s="30"/>
      <c r="W17" s="2"/>
      <c r="X17" s="2"/>
      <c r="Y17" s="2"/>
      <c r="Z17" s="2"/>
    </row>
    <row r="18" spans="1:26" ht="12.75" customHeight="1" x14ac:dyDescent="0.2">
      <c r="A18" s="2"/>
      <c r="B18" s="2" t="str">
        <f>'CompCo 5'!$E$7</f>
        <v>Ngân hàng Thương mại Cổ phần Á Châu</v>
      </c>
      <c r="C18" s="2" t="str">
        <f>'CompCo 5'!$E$8</f>
        <v>ACB</v>
      </c>
      <c r="D18" s="68">
        <f>'CompCo 5'!$E$10</f>
        <v>46022</v>
      </c>
      <c r="E18" s="69">
        <f>'CompCo 5'!$E$13</f>
        <v>1</v>
      </c>
      <c r="F18" s="2"/>
      <c r="G18" s="39">
        <f>'CompCo 5'!$E$45</f>
        <v>0.25703275045087998</v>
      </c>
      <c r="H18" s="39">
        <f>'CompCo 5'!$E$46</f>
        <v>0.21304976047580973</v>
      </c>
      <c r="I18" s="39">
        <f>'CompCo 5'!$E$47</f>
        <v>2.0678444859810949E-2</v>
      </c>
      <c r="J18" s="39">
        <f>'CompCo 5'!$E$48</f>
        <v>0.10566037735849057</v>
      </c>
      <c r="K18" s="39"/>
      <c r="L18" s="39">
        <f>'CompCo 5'!$E$51</f>
        <v>0</v>
      </c>
      <c r="M18" s="67">
        <f>'CompCo 5'!$E$52</f>
        <v>0</v>
      </c>
      <c r="N18" s="67">
        <f>'CompCo 5'!$E$53</f>
        <v>0</v>
      </c>
      <c r="O18" s="67"/>
      <c r="P18" s="67">
        <f>'CompCo 5'!$E$54</f>
        <v>0</v>
      </c>
      <c r="Q18" s="67">
        <f>'CompCo 5'!$E$55</f>
        <v>0</v>
      </c>
      <c r="R18" s="67">
        <f>'CompCo 5'!$E$56</f>
        <v>0</v>
      </c>
      <c r="S18" s="37"/>
      <c r="T18" s="67" t="str">
        <f>'CompCo 5'!$E$11</f>
        <v>NA</v>
      </c>
      <c r="U18" s="67" t="str">
        <f>'CompCo 5'!$E$12</f>
        <v>NA</v>
      </c>
      <c r="V18" s="30"/>
      <c r="W18" s="2"/>
      <c r="X18" s="2"/>
      <c r="Y18" s="2"/>
      <c r="Z18" s="2"/>
    </row>
    <row r="19" spans="1:26" ht="12.75" customHeight="1" x14ac:dyDescent="0.2">
      <c r="A19" s="2"/>
      <c r="B19" s="2"/>
      <c r="C19" s="2"/>
      <c r="D19" s="68"/>
      <c r="E19" s="69"/>
      <c r="F19" s="2"/>
      <c r="G19" s="37"/>
      <c r="H19" s="37"/>
      <c r="I19" s="37"/>
      <c r="J19" s="37"/>
      <c r="K19" s="30"/>
      <c r="L19" s="37"/>
      <c r="M19" s="67"/>
      <c r="N19" s="67"/>
      <c r="O19" s="67"/>
      <c r="P19" s="67"/>
      <c r="Q19" s="67"/>
      <c r="R19" s="67"/>
      <c r="S19" s="37"/>
      <c r="T19" s="67"/>
      <c r="U19" s="67"/>
      <c r="V19" s="30"/>
      <c r="W19" s="2"/>
      <c r="X19" s="2"/>
      <c r="Y19" s="2"/>
      <c r="Z19" s="2"/>
    </row>
    <row r="20" spans="1:26" ht="12.75" customHeight="1" x14ac:dyDescent="0.2">
      <c r="A20" s="2"/>
      <c r="B20" s="42" t="s">
        <v>43</v>
      </c>
      <c r="C20" s="42"/>
      <c r="D20" s="42"/>
      <c r="E20" s="70">
        <f>+AVERAGE(E14:E18)</f>
        <v>1</v>
      </c>
      <c r="F20" s="43"/>
      <c r="G20" s="45">
        <f>+AVERAGE(G14:G18)</f>
        <v>0.28960213220425635</v>
      </c>
      <c r="H20" s="45">
        <f>+AVERAGE(H14:H18)</f>
        <v>0.24120863593491756</v>
      </c>
      <c r="I20" s="45">
        <f>+AVERAGE(I14:I18)</f>
        <v>2.3725876699964763E-2</v>
      </c>
      <c r="J20" s="45">
        <f>IF(ISERROR(AVERAGE(J14:J18)),"NA",AVERAGE(J14:J18))</f>
        <v>5.5420106970851112E-2</v>
      </c>
      <c r="K20" s="45"/>
      <c r="L20" s="45">
        <f>+AVERAGE(L14:L18)</f>
        <v>0</v>
      </c>
      <c r="M20" s="44">
        <f>+AVERAGE(M14:M18)</f>
        <v>0</v>
      </c>
      <c r="N20" s="44">
        <f>+AVERAGE(N14:N18)</f>
        <v>0</v>
      </c>
      <c r="O20" s="44"/>
      <c r="P20" s="44">
        <f>+AVERAGE(P14:P18)</f>
        <v>0</v>
      </c>
      <c r="Q20" s="44">
        <f>+AVERAGE(Q14:Q18)</f>
        <v>0</v>
      </c>
      <c r="R20" s="44">
        <f>+AVERAGE(R14:R18)</f>
        <v>0</v>
      </c>
      <c r="S20" s="44"/>
      <c r="T20" s="44"/>
      <c r="U20" s="71"/>
      <c r="V20" s="48"/>
      <c r="W20" s="2"/>
      <c r="X20" s="2"/>
      <c r="Y20" s="2"/>
      <c r="Z20" s="2"/>
    </row>
    <row r="21" spans="1:26" ht="12.75" customHeight="1" x14ac:dyDescent="0.2">
      <c r="A21" s="2"/>
      <c r="B21" s="42" t="s">
        <v>44</v>
      </c>
      <c r="C21" s="42"/>
      <c r="D21" s="42"/>
      <c r="E21" s="70">
        <f>MEDIAN(E14:E18)</f>
        <v>1</v>
      </c>
      <c r="F21" s="43"/>
      <c r="G21" s="45">
        <f>MEDIAN(G14:G18)</f>
        <v>0.25703275045087998</v>
      </c>
      <c r="H21" s="45">
        <f>MEDIAN(H14:H18)</f>
        <v>0.21304976047580973</v>
      </c>
      <c r="I21" s="45">
        <f>MEDIAN(I14:I18)</f>
        <v>2.0678444859810949E-2</v>
      </c>
      <c r="J21" s="45">
        <f>IF(ISERROR(MEDIAN(J14:J18)),"NA",MEDIAN(J14:J18))</f>
        <v>8.0971659919028341E-2</v>
      </c>
      <c r="K21" s="45"/>
      <c r="L21" s="45">
        <f>MEDIAN(L14:L18)</f>
        <v>0</v>
      </c>
      <c r="M21" s="44">
        <f>MEDIAN(M14:M18)</f>
        <v>0</v>
      </c>
      <c r="N21" s="44">
        <f>MEDIAN(N14:N18)</f>
        <v>0</v>
      </c>
      <c r="O21" s="44"/>
      <c r="P21" s="44">
        <f>MEDIAN(P14:P18)</f>
        <v>0</v>
      </c>
      <c r="Q21" s="44">
        <f>MEDIAN(Q14:Q18)</f>
        <v>0</v>
      </c>
      <c r="R21" s="44">
        <f>MEDIAN(R14:R18)</f>
        <v>0</v>
      </c>
      <c r="S21" s="44"/>
      <c r="T21" s="44"/>
      <c r="U21" s="71"/>
      <c r="V21" s="48"/>
      <c r="W21" s="2"/>
      <c r="X21" s="2"/>
      <c r="Y21" s="2"/>
      <c r="Z21" s="2"/>
    </row>
    <row r="22" spans="1:26" ht="12.75" customHeight="1" x14ac:dyDescent="0.2">
      <c r="A22" s="2"/>
      <c r="B22" s="46"/>
      <c r="C22" s="46"/>
      <c r="D22" s="46"/>
      <c r="E22" s="66"/>
      <c r="F22" s="47"/>
      <c r="G22" s="33"/>
      <c r="H22" s="33"/>
      <c r="I22" s="33"/>
      <c r="J22" s="33"/>
      <c r="K22" s="33"/>
      <c r="L22" s="33"/>
      <c r="M22" s="48"/>
      <c r="N22" s="48"/>
      <c r="O22" s="48"/>
      <c r="P22" s="48"/>
      <c r="Q22" s="48"/>
      <c r="R22" s="48"/>
      <c r="S22" s="48"/>
      <c r="T22" s="48"/>
      <c r="U22" s="50"/>
      <c r="V22" s="48"/>
      <c r="W22" s="2"/>
      <c r="X22" s="2"/>
      <c r="Y22" s="2"/>
      <c r="Z22" s="2"/>
    </row>
    <row r="23" spans="1:26" ht="15" customHeight="1" x14ac:dyDescent="0.2">
      <c r="A23" s="2"/>
      <c r="B23" s="265" t="s">
        <v>45</v>
      </c>
      <c r="C23" s="263"/>
      <c r="D23" s="263"/>
      <c r="E23" s="263"/>
      <c r="F23" s="263"/>
      <c r="G23" s="263"/>
      <c r="H23" s="263"/>
      <c r="I23" s="263"/>
      <c r="J23" s="263"/>
      <c r="K23" s="263"/>
      <c r="L23" s="263"/>
      <c r="M23" s="263"/>
      <c r="N23" s="263"/>
      <c r="O23" s="263"/>
      <c r="P23" s="263"/>
      <c r="Q23" s="263"/>
      <c r="R23" s="263"/>
      <c r="S23" s="263"/>
      <c r="T23" s="263"/>
      <c r="U23" s="263"/>
      <c r="V23" s="29"/>
      <c r="W23" s="29"/>
      <c r="X23" s="30"/>
      <c r="Y23" s="2"/>
      <c r="Z23" s="2"/>
    </row>
    <row r="24" spans="1:26" ht="12.75" customHeight="1" x14ac:dyDescent="0.2">
      <c r="A24" s="2"/>
      <c r="B24" s="2" t="str">
        <f>'CompCo 6'!$E$7</f>
        <v>Ngân hàng Thương mại Cổ phần Ngoại thương Việt Nam</v>
      </c>
      <c r="C24" s="2" t="str">
        <f>'CompCo 6'!$E$8</f>
        <v>VCB</v>
      </c>
      <c r="D24" s="68">
        <f>'CompCo 6'!$E$10</f>
        <v>46022</v>
      </c>
      <c r="E24" s="69">
        <f>'CompCo 6'!$E$13</f>
        <v>1</v>
      </c>
      <c r="F24" s="2"/>
      <c r="G24" s="39">
        <f>'CompCo 6'!$E$45</f>
        <v>0.22440791549556774</v>
      </c>
      <c r="H24" s="39">
        <f>'CompCo 6'!$E$46</f>
        <v>0.18238011762370823</v>
      </c>
      <c r="I24" s="39">
        <f>'CompCo 6'!$E$47</f>
        <v>1.7395155013358556E-2</v>
      </c>
      <c r="J24" s="39">
        <f>'CompCo 6'!$E$48</f>
        <v>0</v>
      </c>
      <c r="K24" s="39"/>
      <c r="L24" s="39">
        <f>'CompCo 6'!$E$51</f>
        <v>0</v>
      </c>
      <c r="M24" s="67">
        <f>'CompCo 6'!$E$52</f>
        <v>0</v>
      </c>
      <c r="N24" s="67">
        <f>'CompCo 6'!$E$53</f>
        <v>0</v>
      </c>
      <c r="O24" s="67"/>
      <c r="P24" s="67">
        <f>'CompCo 6'!$E$54</f>
        <v>0</v>
      </c>
      <c r="Q24" s="67">
        <f>'CompCo 6'!$E$55</f>
        <v>0</v>
      </c>
      <c r="R24" s="67">
        <f>'CompCo 6'!$E$56</f>
        <v>0</v>
      </c>
      <c r="S24" s="37"/>
      <c r="T24" s="67" t="str">
        <f>'CompCo 6'!$E$11</f>
        <v>NA</v>
      </c>
      <c r="U24" s="67" t="str">
        <f>'CompCo 6'!$E$12</f>
        <v>NA</v>
      </c>
      <c r="V24" s="30"/>
      <c r="W24" s="2"/>
      <c r="X24" s="2"/>
      <c r="Y24" s="2"/>
      <c r="Z24" s="2"/>
    </row>
    <row r="25" spans="1:26" ht="12.75" customHeight="1" x14ac:dyDescent="0.2">
      <c r="A25" s="2"/>
      <c r="B25" s="2" t="str">
        <f>'CompCo 7'!$E$7</f>
        <v>Ngân hàng Thương mại Cổ phần Công thương Việt Nam</v>
      </c>
      <c r="C25" s="2" t="str">
        <f>'CompCo 7'!$E$8</f>
        <v>CTG</v>
      </c>
      <c r="D25" s="68">
        <f>'CompCo 7'!$E$10</f>
        <v>46022</v>
      </c>
      <c r="E25" s="69">
        <f>'CompCo 7'!$E$13</f>
        <v>1</v>
      </c>
      <c r="F25" s="2"/>
      <c r="G25" s="39">
        <f>'CompCo 7'!$E$45</f>
        <v>0.37019696564641985</v>
      </c>
      <c r="H25" s="39">
        <f>'CompCo 7'!$E$46</f>
        <v>0.31632485612272582</v>
      </c>
      <c r="I25" s="39">
        <f>'CompCo 7'!$E$47</f>
        <v>2.0516057995490968E-2</v>
      </c>
      <c r="J25" s="39">
        <f>'CompCo 7'!$E$48</f>
        <v>0</v>
      </c>
      <c r="K25" s="39"/>
      <c r="L25" s="39">
        <f>'CompCo 7'!$E$51</f>
        <v>0</v>
      </c>
      <c r="M25" s="67">
        <f>'CompCo 7'!$E$52</f>
        <v>0</v>
      </c>
      <c r="N25" s="67">
        <f>'CompCo 7'!$E$53</f>
        <v>0</v>
      </c>
      <c r="O25" s="67"/>
      <c r="P25" s="67">
        <f>'CompCo 7'!$E$54</f>
        <v>0</v>
      </c>
      <c r="Q25" s="67">
        <f>'CompCo 7'!$E$55</f>
        <v>0</v>
      </c>
      <c r="R25" s="67">
        <f>'CompCo 7'!$E$56</f>
        <v>0</v>
      </c>
      <c r="S25" s="37"/>
      <c r="T25" s="67" t="str">
        <f>'CompCo 7'!$E$11</f>
        <v>NA</v>
      </c>
      <c r="U25" s="67" t="str">
        <f>'CompCo 7'!$E$12</f>
        <v>NA</v>
      </c>
      <c r="V25" s="30"/>
      <c r="W25" s="2"/>
      <c r="X25" s="2"/>
      <c r="Y25" s="2"/>
      <c r="Z25" s="2"/>
    </row>
    <row r="26" spans="1:26" ht="12.75" customHeight="1" x14ac:dyDescent="0.2">
      <c r="A26" s="2"/>
      <c r="B26" s="2" t="str">
        <f>'CompCo 8'!$E$7</f>
        <v>Ngân hàng Thương mại Cổ phần Quân đội</v>
      </c>
      <c r="C26" s="2" t="str">
        <f>'CompCo 8'!$E$8</f>
        <v>MBB</v>
      </c>
      <c r="D26" s="68">
        <f>'CompCo 8'!$E$10</f>
        <v>46022</v>
      </c>
      <c r="E26" s="69">
        <f>'CompCo 8'!$E$13</f>
        <v>1</v>
      </c>
      <c r="F26" s="2"/>
      <c r="G26" s="39">
        <f>'CompCo 8'!$E$45</f>
        <v>0.37063047495839024</v>
      </c>
      <c r="H26" s="39">
        <f>'CompCo 8'!$E$46</f>
        <v>0.31281545163910318</v>
      </c>
      <c r="I26" s="39">
        <f>'CompCo 8'!$E$47</f>
        <v>3.0722905839502834E-2</v>
      </c>
      <c r="J26" s="39">
        <f>'CompCo 8'!$E$48</f>
        <v>8.0971659919028341E-2</v>
      </c>
      <c r="K26" s="39"/>
      <c r="L26" s="39">
        <f>'CompCo 8'!$E$51</f>
        <v>0</v>
      </c>
      <c r="M26" s="67">
        <f>'CompCo 8'!$E$52</f>
        <v>0</v>
      </c>
      <c r="N26" s="67">
        <f>'CompCo 8'!$E$53</f>
        <v>0</v>
      </c>
      <c r="O26" s="67"/>
      <c r="P26" s="67">
        <f>'CompCo 8'!$E$54</f>
        <v>0</v>
      </c>
      <c r="Q26" s="67">
        <f>'CompCo 8'!$E$55</f>
        <v>0</v>
      </c>
      <c r="R26" s="67">
        <f>'CompCo 8'!$E$56</f>
        <v>0</v>
      </c>
      <c r="S26" s="37"/>
      <c r="T26" s="67" t="str">
        <f>'CompCo 8'!$E$11</f>
        <v>NA</v>
      </c>
      <c r="U26" s="67" t="str">
        <f>'CompCo 8'!$E$12</f>
        <v>NA</v>
      </c>
      <c r="V26" s="30"/>
      <c r="W26" s="2"/>
      <c r="X26" s="2"/>
      <c r="Y26" s="2"/>
      <c r="Z26" s="2"/>
    </row>
    <row r="27" spans="1:26" ht="12.75" customHeight="1" x14ac:dyDescent="0.2">
      <c r="A27" s="2"/>
      <c r="B27" s="2" t="str">
        <f>'CompCo 9'!$E$7</f>
        <v>Ngân hàng Thương mại Cổ phần Kỹ thương Việt Nam</v>
      </c>
      <c r="C27" s="2" t="str">
        <f>'CompCo 9'!$E$8</f>
        <v>TCB</v>
      </c>
      <c r="D27" s="68">
        <f>'CompCo 9'!$E$10</f>
        <v>46022</v>
      </c>
      <c r="E27" s="69">
        <f>'CompCo 9'!$E$13</f>
        <v>1</v>
      </c>
      <c r="F27" s="2"/>
      <c r="G27" s="39">
        <f>'CompCo 9'!$E$45</f>
        <v>0.22574255447002381</v>
      </c>
      <c r="H27" s="39">
        <f>'CompCo 9'!$E$46</f>
        <v>0.18147299381324083</v>
      </c>
      <c r="I27" s="39">
        <f>'CompCo 9'!$E$47</f>
        <v>2.9316819791660505E-2</v>
      </c>
      <c r="J27" s="39">
        <f>'CompCo 9'!$E$48</f>
        <v>9.0468497576736667E-2</v>
      </c>
      <c r="K27" s="39"/>
      <c r="L27" s="39">
        <f>'CompCo 9'!$E$51</f>
        <v>0</v>
      </c>
      <c r="M27" s="67">
        <f>'CompCo 9'!$E$52</f>
        <v>0</v>
      </c>
      <c r="N27" s="67">
        <f>'CompCo 9'!$E$53</f>
        <v>0</v>
      </c>
      <c r="O27" s="67"/>
      <c r="P27" s="67">
        <f>'CompCo 9'!$E$54</f>
        <v>0</v>
      </c>
      <c r="Q27" s="67">
        <f>'CompCo 9'!$E$55</f>
        <v>0</v>
      </c>
      <c r="R27" s="67">
        <f>'CompCo 9'!$E$56</f>
        <v>0</v>
      </c>
      <c r="S27" s="37"/>
      <c r="T27" s="67" t="str">
        <f>'CompCo 9'!$E$11</f>
        <v>NA</v>
      </c>
      <c r="U27" s="67" t="str">
        <f>'CompCo 9'!$E$12</f>
        <v>NA</v>
      </c>
      <c r="V27" s="30"/>
      <c r="W27" s="2"/>
      <c r="X27" s="2"/>
      <c r="Y27" s="2"/>
      <c r="Z27" s="2"/>
    </row>
    <row r="28" spans="1:26" ht="12.75" customHeight="1" x14ac:dyDescent="0.2">
      <c r="A28" s="2"/>
      <c r="B28" s="2" t="str">
        <f>'CompCo 10'!$E$7</f>
        <v>Ngân hàng Thương mại Cổ phần Á Châu</v>
      </c>
      <c r="C28" s="2" t="str">
        <f>'CompCo 10'!$E$8</f>
        <v>ACB</v>
      </c>
      <c r="D28" s="68">
        <f>'CompCo 10'!$E$10</f>
        <v>46022</v>
      </c>
      <c r="E28" s="69">
        <f>'CompCo 10'!$E$13</f>
        <v>1</v>
      </c>
      <c r="F28" s="2"/>
      <c r="G28" s="39">
        <f>'CompCo 10'!$E$45</f>
        <v>0.25703275045087998</v>
      </c>
      <c r="H28" s="39">
        <f>'CompCo 10'!$E$46</f>
        <v>0.21304976047580973</v>
      </c>
      <c r="I28" s="39">
        <f>'CompCo 10'!$E$47</f>
        <v>2.0678444859810949E-2</v>
      </c>
      <c r="J28" s="39">
        <f>'CompCo 10'!$E$48</f>
        <v>0.10566037735849057</v>
      </c>
      <c r="K28" s="39"/>
      <c r="L28" s="39">
        <f>'CompCo 10'!$E$51</f>
        <v>0</v>
      </c>
      <c r="M28" s="67">
        <f>'CompCo 10'!$E$52</f>
        <v>0</v>
      </c>
      <c r="N28" s="67">
        <f>'CompCo 10'!$E$53</f>
        <v>0</v>
      </c>
      <c r="O28" s="67"/>
      <c r="P28" s="67">
        <f>'CompCo 10'!$E$54</f>
        <v>0</v>
      </c>
      <c r="Q28" s="67">
        <f>'CompCo 10'!$E$55</f>
        <v>0</v>
      </c>
      <c r="R28" s="67">
        <f>'CompCo 10'!$E$56</f>
        <v>0</v>
      </c>
      <c r="S28" s="37"/>
      <c r="T28" s="67" t="str">
        <f>'CompCo 10'!$E$11</f>
        <v>NA</v>
      </c>
      <c r="U28" s="67" t="str">
        <f>'CompCo 10'!$E$12</f>
        <v>NA</v>
      </c>
      <c r="V28" s="30"/>
      <c r="W28" s="2"/>
      <c r="X28" s="2"/>
      <c r="Y28" s="2"/>
      <c r="Z28" s="2"/>
    </row>
    <row r="29" spans="1:26" ht="12.75" customHeight="1" x14ac:dyDescent="0.2">
      <c r="A29" s="2"/>
      <c r="B29" s="2"/>
      <c r="C29" s="2"/>
      <c r="D29" s="68"/>
      <c r="E29" s="69"/>
      <c r="F29" s="2"/>
      <c r="G29" s="37"/>
      <c r="H29" s="37"/>
      <c r="I29" s="37"/>
      <c r="J29" s="37"/>
      <c r="K29" s="30"/>
      <c r="L29" s="37"/>
      <c r="M29" s="67"/>
      <c r="N29" s="67"/>
      <c r="O29" s="67"/>
      <c r="P29" s="67"/>
      <c r="Q29" s="67"/>
      <c r="R29" s="67"/>
      <c r="S29" s="37"/>
      <c r="T29" s="67"/>
      <c r="U29" s="67"/>
      <c r="V29" s="30"/>
      <c r="W29" s="2"/>
      <c r="X29" s="2"/>
      <c r="Y29" s="2"/>
      <c r="Z29" s="2"/>
    </row>
    <row r="30" spans="1:26" ht="12.75" customHeight="1" x14ac:dyDescent="0.2">
      <c r="A30" s="2"/>
      <c r="B30" s="42" t="s">
        <v>43</v>
      </c>
      <c r="C30" s="42"/>
      <c r="D30" s="42"/>
      <c r="E30" s="70">
        <f>+AVERAGE(E24:E28)</f>
        <v>1</v>
      </c>
      <c r="F30" s="43"/>
      <c r="G30" s="45">
        <f>+AVERAGE(G24:G28)</f>
        <v>0.28960213220425635</v>
      </c>
      <c r="H30" s="45">
        <f>+AVERAGE(H24:H28)</f>
        <v>0.24120863593491756</v>
      </c>
      <c r="I30" s="45">
        <f>+AVERAGE(I24:I28)</f>
        <v>2.3725876699964763E-2</v>
      </c>
      <c r="J30" s="45">
        <f>IF(ISERROR(AVERAGE(J24:J28)),"NA",AVERAGE(J24:J28))</f>
        <v>5.5420106970851112E-2</v>
      </c>
      <c r="K30" s="45"/>
      <c r="L30" s="45">
        <f>+AVERAGE(L24:L28)</f>
        <v>0</v>
      </c>
      <c r="M30" s="44">
        <f>+AVERAGE(M24:M28)</f>
        <v>0</v>
      </c>
      <c r="N30" s="44">
        <f>+AVERAGE(N24:N28)</f>
        <v>0</v>
      </c>
      <c r="O30" s="44"/>
      <c r="P30" s="44">
        <f>+AVERAGE(P24:P28)</f>
        <v>0</v>
      </c>
      <c r="Q30" s="44">
        <f>+AVERAGE(Q24:Q28)</f>
        <v>0</v>
      </c>
      <c r="R30" s="44">
        <f>+AVERAGE(R24:R28)</f>
        <v>0</v>
      </c>
      <c r="S30" s="44"/>
      <c r="T30" s="44"/>
      <c r="U30" s="71"/>
      <c r="V30" s="48"/>
      <c r="W30" s="2"/>
      <c r="X30" s="2"/>
      <c r="Y30" s="2"/>
      <c r="Z30" s="2"/>
    </row>
    <row r="31" spans="1:26" ht="12.75" customHeight="1" x14ac:dyDescent="0.2">
      <c r="A31" s="2"/>
      <c r="B31" s="42" t="s">
        <v>44</v>
      </c>
      <c r="C31" s="42"/>
      <c r="D31" s="42"/>
      <c r="E31" s="70">
        <f>MEDIAN(E24:E28)</f>
        <v>1</v>
      </c>
      <c r="F31" s="43"/>
      <c r="G31" s="45">
        <f>MEDIAN(G24:G28)</f>
        <v>0.25703275045087998</v>
      </c>
      <c r="H31" s="45">
        <f>MEDIAN(H24:H28)</f>
        <v>0.21304976047580973</v>
      </c>
      <c r="I31" s="45">
        <f>MEDIAN(I24:I28)</f>
        <v>2.0678444859810949E-2</v>
      </c>
      <c r="J31" s="45">
        <f>IF(ISERROR(MEDIAN(J24:J28)),"NA",MEDIAN(J24:J28))</f>
        <v>8.0971659919028341E-2</v>
      </c>
      <c r="K31" s="45"/>
      <c r="L31" s="45">
        <f>MEDIAN(L24:L28)</f>
        <v>0</v>
      </c>
      <c r="M31" s="44">
        <f>MEDIAN(M24:M28)</f>
        <v>0</v>
      </c>
      <c r="N31" s="44">
        <f>MEDIAN(N24:N28)</f>
        <v>0</v>
      </c>
      <c r="O31" s="44"/>
      <c r="P31" s="44">
        <f>MEDIAN(P24:P28)</f>
        <v>0</v>
      </c>
      <c r="Q31" s="44">
        <f>MEDIAN(Q24:Q28)</f>
        <v>0</v>
      </c>
      <c r="R31" s="44">
        <f>MEDIAN(R24:R28)</f>
        <v>0</v>
      </c>
      <c r="S31" s="44"/>
      <c r="T31" s="44"/>
      <c r="U31" s="71"/>
      <c r="V31" s="48"/>
      <c r="W31" s="2"/>
      <c r="X31" s="2"/>
      <c r="Y31" s="2"/>
      <c r="Z31" s="2"/>
    </row>
    <row r="32" spans="1:26" ht="12.75" customHeight="1" x14ac:dyDescent="0.2">
      <c r="A32" s="2"/>
      <c r="B32" s="46"/>
      <c r="C32" s="46"/>
      <c r="D32" s="46"/>
      <c r="E32" s="66"/>
      <c r="F32" s="47"/>
      <c r="G32" s="33"/>
      <c r="H32" s="33"/>
      <c r="I32" s="33"/>
      <c r="J32" s="33"/>
      <c r="K32" s="33"/>
      <c r="L32" s="33"/>
      <c r="M32" s="48"/>
      <c r="N32" s="48"/>
      <c r="O32" s="48"/>
      <c r="P32" s="48"/>
      <c r="Q32" s="48"/>
      <c r="R32" s="48"/>
      <c r="S32" s="48"/>
      <c r="T32" s="48"/>
      <c r="U32" s="50"/>
      <c r="V32" s="48"/>
      <c r="W32" s="2"/>
      <c r="X32" s="2"/>
      <c r="Y32" s="2"/>
      <c r="Z32" s="2"/>
    </row>
    <row r="33" spans="1:26" ht="15" customHeight="1" x14ac:dyDescent="0.2">
      <c r="A33" s="2"/>
      <c r="B33" s="265" t="s">
        <v>46</v>
      </c>
      <c r="C33" s="263"/>
      <c r="D33" s="263"/>
      <c r="E33" s="263"/>
      <c r="F33" s="263"/>
      <c r="G33" s="263"/>
      <c r="H33" s="263"/>
      <c r="I33" s="263"/>
      <c r="J33" s="263"/>
      <c r="K33" s="263"/>
      <c r="L33" s="263"/>
      <c r="M33" s="263"/>
      <c r="N33" s="263"/>
      <c r="O33" s="263"/>
      <c r="P33" s="263"/>
      <c r="Q33" s="263"/>
      <c r="R33" s="263"/>
      <c r="S33" s="263"/>
      <c r="T33" s="263"/>
      <c r="U33" s="263"/>
      <c r="V33" s="29"/>
      <c r="W33" s="29"/>
      <c r="X33" s="2"/>
      <c r="Y33" s="2"/>
      <c r="Z33" s="2"/>
    </row>
    <row r="34" spans="1:26" ht="12.75" customHeight="1" x14ac:dyDescent="0.2">
      <c r="A34" s="2"/>
      <c r="B34" s="2" t="str">
        <f>'CompCo 11'!$E$7</f>
        <v>Ngân hàng Thương mại Cổ phần Ngoại thương Việt Nam</v>
      </c>
      <c r="C34" s="2" t="str">
        <f>'CompCo 11'!$E$8</f>
        <v>VCB</v>
      </c>
      <c r="D34" s="68">
        <f>'CompCo 11'!$E$10</f>
        <v>46022</v>
      </c>
      <c r="E34" s="69">
        <f>'CompCo 11'!$E$13</f>
        <v>1</v>
      </c>
      <c r="F34" s="2"/>
      <c r="G34" s="39">
        <f>'CompCo 11'!$E$45</f>
        <v>0.22440791549556774</v>
      </c>
      <c r="H34" s="39">
        <f>'CompCo 11'!$E$46</f>
        <v>0.18238011762370823</v>
      </c>
      <c r="I34" s="39">
        <f>'CompCo 11'!$E$47</f>
        <v>1.7395155013358556E-2</v>
      </c>
      <c r="J34" s="39">
        <f>'CompCo 11'!$E$48</f>
        <v>0</v>
      </c>
      <c r="K34" s="39"/>
      <c r="L34" s="39">
        <f>'CompCo 11'!$E$51</f>
        <v>0</v>
      </c>
      <c r="M34" s="67">
        <f>'CompCo 11'!$E$52</f>
        <v>0</v>
      </c>
      <c r="N34" s="67">
        <f>'CompCo 11'!$E$53</f>
        <v>0</v>
      </c>
      <c r="O34" s="67"/>
      <c r="P34" s="67">
        <f>'CompCo 11'!$E$54</f>
        <v>0</v>
      </c>
      <c r="Q34" s="67">
        <f>'CompCo 11'!$E$55</f>
        <v>0</v>
      </c>
      <c r="R34" s="67">
        <f>'CompCo 11'!$E$56</f>
        <v>0</v>
      </c>
      <c r="S34" s="37"/>
      <c r="T34" s="67" t="str">
        <f>'CompCo 11'!$E$11</f>
        <v>NA</v>
      </c>
      <c r="U34" s="67" t="str">
        <f>'CompCo 11'!$E$12</f>
        <v>NA</v>
      </c>
      <c r="V34" s="30"/>
      <c r="W34" s="2"/>
      <c r="X34" s="2"/>
      <c r="Y34" s="2"/>
      <c r="Z34" s="2"/>
    </row>
    <row r="35" spans="1:26" ht="12.75" customHeight="1" x14ac:dyDescent="0.2">
      <c r="A35" s="2"/>
      <c r="B35" s="2" t="str">
        <f>'CompCo 12'!$E$7</f>
        <v>Ngân hàng Thương mại Cổ phần Công thương Việt Nam</v>
      </c>
      <c r="C35" s="2" t="str">
        <f>'CompCo 12'!$E$8</f>
        <v>CTG</v>
      </c>
      <c r="D35" s="68">
        <f>'CompCo 12'!$E$10</f>
        <v>46022</v>
      </c>
      <c r="E35" s="69">
        <f>'CompCo 12'!$E$13</f>
        <v>1</v>
      </c>
      <c r="F35" s="2"/>
      <c r="G35" s="39">
        <f>'CompCo 12'!$E$45</f>
        <v>0.37019696564641985</v>
      </c>
      <c r="H35" s="39">
        <f>'CompCo 12'!$E$46</f>
        <v>0.31632485612272582</v>
      </c>
      <c r="I35" s="39">
        <f>'CompCo 12'!$E$47</f>
        <v>2.0516057995490968E-2</v>
      </c>
      <c r="J35" s="39">
        <f>'CompCo 12'!$E$48</f>
        <v>0</v>
      </c>
      <c r="K35" s="39"/>
      <c r="L35" s="39">
        <f>'CompCo 12'!$E$51</f>
        <v>0</v>
      </c>
      <c r="M35" s="67">
        <f>'CompCo 12'!$E$52</f>
        <v>0</v>
      </c>
      <c r="N35" s="67">
        <f>'CompCo 12'!$E$53</f>
        <v>0</v>
      </c>
      <c r="O35" s="67"/>
      <c r="P35" s="67">
        <f>'CompCo 12'!$E$54</f>
        <v>0</v>
      </c>
      <c r="Q35" s="67">
        <f>'CompCo 12'!$E$55</f>
        <v>0</v>
      </c>
      <c r="R35" s="67">
        <f>'CompCo 12'!$E$56</f>
        <v>0</v>
      </c>
      <c r="S35" s="37"/>
      <c r="T35" s="67" t="str">
        <f>'CompCo 12'!$E$11</f>
        <v>NA</v>
      </c>
      <c r="U35" s="67" t="str">
        <f>'CompCo 12'!$E$12</f>
        <v>NA</v>
      </c>
      <c r="V35" s="30"/>
      <c r="W35" s="2"/>
      <c r="X35" s="2"/>
      <c r="Y35" s="2"/>
      <c r="Z35" s="2"/>
    </row>
    <row r="36" spans="1:26" ht="12.75" customHeight="1" x14ac:dyDescent="0.2">
      <c r="A36" s="2"/>
      <c r="B36" s="2" t="str">
        <f>'CompCo 13'!$E$7</f>
        <v>Ngân hàng Thương mại Cổ phần Quân đội</v>
      </c>
      <c r="C36" s="2" t="str">
        <f>'CompCo 13'!$E$8</f>
        <v>MBB</v>
      </c>
      <c r="D36" s="68">
        <f>'CompCo 13'!$E$10</f>
        <v>46022</v>
      </c>
      <c r="E36" s="69">
        <f>'CompCo 13'!$E$13</f>
        <v>1</v>
      </c>
      <c r="F36" s="2"/>
      <c r="G36" s="39">
        <f>'CompCo 13'!$E$45</f>
        <v>0.37063047495839024</v>
      </c>
      <c r="H36" s="39">
        <f>'CompCo 13'!$E$46</f>
        <v>0.31281545163910318</v>
      </c>
      <c r="I36" s="39">
        <f>'CompCo 13'!$E$47</f>
        <v>3.0722905839502834E-2</v>
      </c>
      <c r="J36" s="39">
        <f>'CompCo 13'!$E$48</f>
        <v>8.0971659919028341E-2</v>
      </c>
      <c r="K36" s="39"/>
      <c r="L36" s="39">
        <f>'CompCo 13'!$E$51</f>
        <v>0</v>
      </c>
      <c r="M36" s="67">
        <f>'CompCo 13'!$E$52</f>
        <v>0</v>
      </c>
      <c r="N36" s="67">
        <f>'CompCo 13'!$E$53</f>
        <v>0</v>
      </c>
      <c r="O36" s="67"/>
      <c r="P36" s="67">
        <f>'CompCo 13'!$E$54</f>
        <v>0</v>
      </c>
      <c r="Q36" s="67">
        <f>'CompCo 13'!$E$55</f>
        <v>0</v>
      </c>
      <c r="R36" s="67">
        <f>'CompCo 13'!$E$56</f>
        <v>0</v>
      </c>
      <c r="S36" s="37"/>
      <c r="T36" s="67" t="str">
        <f>'CompCo 13'!$E$11</f>
        <v>NA</v>
      </c>
      <c r="U36" s="67" t="str">
        <f>'CompCo 13'!$E$12</f>
        <v>NA</v>
      </c>
      <c r="V36" s="30"/>
      <c r="W36" s="2"/>
      <c r="X36" s="2"/>
      <c r="Y36" s="2"/>
      <c r="Z36" s="2"/>
    </row>
    <row r="37" spans="1:26" ht="12.75" customHeight="1" x14ac:dyDescent="0.2">
      <c r="A37" s="2"/>
      <c r="B37" s="2" t="str">
        <f>'CompCo 14'!$E$7</f>
        <v>Ngân hàng Thương mại Cổ phần Kỹ thương Việt Nam</v>
      </c>
      <c r="C37" s="2" t="str">
        <f>'CompCo 14'!$E$8</f>
        <v>TCB</v>
      </c>
      <c r="D37" s="68">
        <f>'CompCo 14'!$E$10</f>
        <v>46022</v>
      </c>
      <c r="E37" s="69">
        <f>'CompCo 14'!$E$13</f>
        <v>1</v>
      </c>
      <c r="F37" s="2"/>
      <c r="G37" s="39">
        <f>'CompCo 14'!$E$45</f>
        <v>0.22574255447002381</v>
      </c>
      <c r="H37" s="39">
        <f>'CompCo 14'!$E$46</f>
        <v>0.18147299381324083</v>
      </c>
      <c r="I37" s="39">
        <f>'CompCo 14'!$E$47</f>
        <v>2.9316819791660505E-2</v>
      </c>
      <c r="J37" s="39">
        <f>'CompCo 14'!$E$48</f>
        <v>9.0468497576736667E-2</v>
      </c>
      <c r="K37" s="39"/>
      <c r="L37" s="39">
        <f>'CompCo 14'!$E$51</f>
        <v>0</v>
      </c>
      <c r="M37" s="67">
        <f>'CompCo 14'!$E$52</f>
        <v>0</v>
      </c>
      <c r="N37" s="67">
        <f>'CompCo 14'!$E$53</f>
        <v>0</v>
      </c>
      <c r="O37" s="67"/>
      <c r="P37" s="67">
        <f>'CompCo 14'!$E$54</f>
        <v>0</v>
      </c>
      <c r="Q37" s="67">
        <f>'CompCo 14'!$E$55</f>
        <v>0</v>
      </c>
      <c r="R37" s="67">
        <f>'CompCo 14'!$E$56</f>
        <v>0</v>
      </c>
      <c r="S37" s="37"/>
      <c r="T37" s="67" t="str">
        <f>'CompCo 14'!$E$11</f>
        <v>NA</v>
      </c>
      <c r="U37" s="67" t="str">
        <f>'CompCo 14'!$E$12</f>
        <v>NA</v>
      </c>
      <c r="V37" s="30"/>
      <c r="W37" s="2"/>
      <c r="X37" s="2"/>
      <c r="Y37" s="2"/>
      <c r="Z37" s="2"/>
    </row>
    <row r="38" spans="1:26" ht="12.75" customHeight="1" x14ac:dyDescent="0.2">
      <c r="A38" s="2" t="s">
        <v>47</v>
      </c>
      <c r="B38" s="2" t="str">
        <f>'CompCo 15'!$E$7</f>
        <v>Ngân hàng Thương mại Cổ phần Á Châu</v>
      </c>
      <c r="C38" s="2" t="str">
        <f>'CompCo 15'!$E$8</f>
        <v>ACB</v>
      </c>
      <c r="D38" s="68">
        <f>'CompCo 15'!$E$10</f>
        <v>46022</v>
      </c>
      <c r="E38" s="69">
        <f>'CompCo 15'!$E$13</f>
        <v>1</v>
      </c>
      <c r="F38" s="2"/>
      <c r="G38" s="39">
        <f>'CompCo 15'!$E$45</f>
        <v>0.25703275045087998</v>
      </c>
      <c r="H38" s="39">
        <f>'CompCo 15'!$E$46</f>
        <v>0.21304976047580973</v>
      </c>
      <c r="I38" s="39">
        <f>'CompCo 15'!$E$47</f>
        <v>2.0678444859810949E-2</v>
      </c>
      <c r="J38" s="39">
        <f>'CompCo 15'!$E$48</f>
        <v>0.10566037735849057</v>
      </c>
      <c r="K38" s="39"/>
      <c r="L38" s="39">
        <f>'CompCo 15'!$E$51</f>
        <v>0</v>
      </c>
      <c r="M38" s="67">
        <f>'CompCo 15'!$E$52</f>
        <v>0</v>
      </c>
      <c r="N38" s="67">
        <f>'CompCo 15'!$E$53</f>
        <v>0</v>
      </c>
      <c r="O38" s="67"/>
      <c r="P38" s="67">
        <f>'CompCo 15'!$E$54</f>
        <v>0</v>
      </c>
      <c r="Q38" s="67">
        <f>'CompCo 15'!$E$55</f>
        <v>0</v>
      </c>
      <c r="R38" s="67">
        <f>'CompCo 15'!$E$56</f>
        <v>0</v>
      </c>
      <c r="S38" s="37"/>
      <c r="T38" s="67" t="str">
        <f>'CompCo 15'!$E$11</f>
        <v>NA</v>
      </c>
      <c r="U38" s="67" t="str">
        <f>'CompCo 15'!$E$12</f>
        <v>NA</v>
      </c>
      <c r="V38" s="30"/>
      <c r="W38" s="2"/>
      <c r="X38" s="2"/>
      <c r="Y38" s="2"/>
      <c r="Z38" s="2"/>
    </row>
    <row r="39" spans="1:26" ht="12.75" customHeight="1" x14ac:dyDescent="0.2">
      <c r="A39" s="2"/>
      <c r="B39" s="2"/>
      <c r="C39" s="2"/>
      <c r="D39" s="68"/>
      <c r="E39" s="69"/>
      <c r="F39" s="2"/>
      <c r="G39" s="37"/>
      <c r="H39" s="37"/>
      <c r="I39" s="37"/>
      <c r="J39" s="37"/>
      <c r="K39" s="30"/>
      <c r="L39" s="37"/>
      <c r="M39" s="67"/>
      <c r="N39" s="67"/>
      <c r="O39" s="67"/>
      <c r="P39" s="67"/>
      <c r="Q39" s="67"/>
      <c r="R39" s="67"/>
      <c r="S39" s="37"/>
      <c r="T39" s="67"/>
      <c r="U39" s="67"/>
      <c r="V39" s="30"/>
      <c r="W39" s="2"/>
      <c r="X39" s="2"/>
      <c r="Y39" s="2"/>
      <c r="Z39" s="2"/>
    </row>
    <row r="40" spans="1:26" ht="12.75" customHeight="1" x14ac:dyDescent="0.2">
      <c r="A40" s="2"/>
      <c r="B40" s="42" t="s">
        <v>43</v>
      </c>
      <c r="C40" s="42"/>
      <c r="D40" s="42"/>
      <c r="E40" s="70">
        <f>+AVERAGE(E34:E38)</f>
        <v>1</v>
      </c>
      <c r="F40" s="43"/>
      <c r="G40" s="45">
        <f>+AVERAGE(G34:G38)</f>
        <v>0.28960213220425635</v>
      </c>
      <c r="H40" s="45">
        <f>+AVERAGE(H34:H38)</f>
        <v>0.24120863593491756</v>
      </c>
      <c r="I40" s="45">
        <f>+AVERAGE(I34:I38)</f>
        <v>2.3725876699964763E-2</v>
      </c>
      <c r="J40" s="45">
        <f>IF(ISERROR(AVERAGE(J34:J38)),"NA",AVERAGE(J34:J38))</f>
        <v>5.5420106970851112E-2</v>
      </c>
      <c r="K40" s="45"/>
      <c r="L40" s="45">
        <f>+AVERAGE(L34:L38)</f>
        <v>0</v>
      </c>
      <c r="M40" s="44">
        <f>+AVERAGE(M34:M38)</f>
        <v>0</v>
      </c>
      <c r="N40" s="44">
        <f>+AVERAGE(N34:N38)</f>
        <v>0</v>
      </c>
      <c r="O40" s="44"/>
      <c r="P40" s="44">
        <f>+AVERAGE(P34:P38)</f>
        <v>0</v>
      </c>
      <c r="Q40" s="44">
        <f>+AVERAGE(Q34:Q38)</f>
        <v>0</v>
      </c>
      <c r="R40" s="44">
        <f>+AVERAGE(R34:R38)</f>
        <v>0</v>
      </c>
      <c r="S40" s="44"/>
      <c r="T40" s="44"/>
      <c r="U40" s="71"/>
      <c r="V40" s="48"/>
      <c r="W40" s="2"/>
      <c r="X40" s="2"/>
      <c r="Y40" s="2"/>
      <c r="Z40" s="2"/>
    </row>
    <row r="41" spans="1:26" ht="12.75" customHeight="1" x14ac:dyDescent="0.2">
      <c r="A41" s="2"/>
      <c r="B41" s="42" t="s">
        <v>44</v>
      </c>
      <c r="C41" s="42"/>
      <c r="D41" s="42"/>
      <c r="E41" s="70">
        <f>MEDIAN(E34:E38)</f>
        <v>1</v>
      </c>
      <c r="F41" s="43"/>
      <c r="G41" s="45">
        <f>MEDIAN(G34:G38)</f>
        <v>0.25703275045087998</v>
      </c>
      <c r="H41" s="45">
        <f>MEDIAN(H34:H38)</f>
        <v>0.21304976047580973</v>
      </c>
      <c r="I41" s="45">
        <f>MEDIAN(I34:I38)</f>
        <v>2.0678444859810949E-2</v>
      </c>
      <c r="J41" s="45">
        <f>IF(ISERROR(MEDIAN(J34:J38)),"NA",MEDIAN(J34:J38))</f>
        <v>8.0971659919028341E-2</v>
      </c>
      <c r="K41" s="45"/>
      <c r="L41" s="45">
        <f>MEDIAN(L34:L38)</f>
        <v>0</v>
      </c>
      <c r="M41" s="44">
        <f>MEDIAN(M34:M38)</f>
        <v>0</v>
      </c>
      <c r="N41" s="44">
        <f>MEDIAN(N34:N38)</f>
        <v>0</v>
      </c>
      <c r="O41" s="44"/>
      <c r="P41" s="44">
        <f>MEDIAN(P34:P38)</f>
        <v>0</v>
      </c>
      <c r="Q41" s="44">
        <f>MEDIAN(Q34:Q38)</f>
        <v>0</v>
      </c>
      <c r="R41" s="44">
        <f>MEDIAN(R34:R38)</f>
        <v>0</v>
      </c>
      <c r="S41" s="44"/>
      <c r="T41" s="44"/>
      <c r="U41" s="71"/>
      <c r="V41" s="48"/>
      <c r="W41" s="2"/>
      <c r="X41" s="2"/>
      <c r="Y41" s="2"/>
      <c r="Z41" s="2"/>
    </row>
    <row r="42" spans="1:26" ht="12.75" customHeight="1" x14ac:dyDescent="0.2">
      <c r="A42" s="2"/>
      <c r="B42" s="2"/>
      <c r="C42" s="2"/>
      <c r="D42" s="49"/>
      <c r="E42" s="72"/>
      <c r="F42" s="35"/>
      <c r="G42" s="2"/>
      <c r="H42" s="2"/>
      <c r="I42" s="67"/>
      <c r="J42" s="67"/>
      <c r="K42" s="67"/>
      <c r="L42" s="67"/>
      <c r="M42" s="67"/>
      <c r="N42" s="67"/>
      <c r="O42" s="67"/>
      <c r="P42" s="67"/>
      <c r="Q42" s="67"/>
      <c r="R42" s="67"/>
      <c r="S42" s="67"/>
      <c r="T42" s="73"/>
      <c r="U42" s="37"/>
      <c r="V42" s="67"/>
      <c r="W42" s="2"/>
      <c r="X42" s="2"/>
      <c r="Y42" s="2"/>
      <c r="Z42" s="2"/>
    </row>
    <row r="43" spans="1:26" ht="15" customHeight="1" x14ac:dyDescent="0.2">
      <c r="A43" s="2"/>
      <c r="B43" s="265" t="s">
        <v>48</v>
      </c>
      <c r="C43" s="263"/>
      <c r="D43" s="263"/>
      <c r="E43" s="263"/>
      <c r="F43" s="263"/>
      <c r="G43" s="263"/>
      <c r="H43" s="263"/>
      <c r="I43" s="263"/>
      <c r="J43" s="263"/>
      <c r="K43" s="263"/>
      <c r="L43" s="263"/>
      <c r="M43" s="263"/>
      <c r="N43" s="263"/>
      <c r="O43" s="263"/>
      <c r="P43" s="263"/>
      <c r="Q43" s="263"/>
      <c r="R43" s="263"/>
      <c r="S43" s="263"/>
      <c r="T43" s="263"/>
      <c r="U43" s="263"/>
      <c r="V43" s="48"/>
      <c r="W43" s="2"/>
      <c r="X43" s="2"/>
      <c r="Y43" s="2"/>
      <c r="Z43" s="2"/>
    </row>
    <row r="44" spans="1:26" ht="12.75" customHeight="1" x14ac:dyDescent="0.2">
      <c r="A44" s="2"/>
      <c r="B44" s="2"/>
      <c r="C44" s="2"/>
      <c r="D44" s="49"/>
      <c r="E44" s="66"/>
      <c r="F44" s="47"/>
      <c r="G44" s="50"/>
      <c r="H44" s="50"/>
      <c r="I44" s="50"/>
      <c r="J44" s="50"/>
      <c r="K44" s="48"/>
      <c r="L44" s="50"/>
      <c r="M44" s="48"/>
      <c r="N44" s="48"/>
      <c r="O44" s="48"/>
      <c r="P44" s="48"/>
      <c r="Q44" s="48"/>
      <c r="R44" s="48"/>
      <c r="S44" s="48"/>
      <c r="T44" s="48"/>
      <c r="U44" s="50"/>
      <c r="V44" s="48"/>
      <c r="W44" s="2"/>
      <c r="X44" s="2"/>
      <c r="Y44" s="2"/>
      <c r="Z44" s="2"/>
    </row>
    <row r="45" spans="1:26" ht="12.75" customHeight="1" x14ac:dyDescent="0.2">
      <c r="A45" s="2"/>
      <c r="B45" s="42" t="s">
        <v>43</v>
      </c>
      <c r="C45" s="42"/>
      <c r="D45" s="42"/>
      <c r="E45" s="70">
        <f>+AVERAGE(E24:E28,E14:E18,E34:E38)</f>
        <v>1</v>
      </c>
      <c r="F45" s="43"/>
      <c r="G45" s="45">
        <f>+AVERAGE(G24:G28,G14:G18,G34:G38)</f>
        <v>0.28960213220425629</v>
      </c>
      <c r="H45" s="45">
        <f>+AVERAGE(H24:H28,H14:H18,H34:H38)</f>
        <v>0.24120863593491756</v>
      </c>
      <c r="I45" s="45">
        <f>+AVERAGE(I24:I28,I14:I18,I34:I38)</f>
        <v>2.3725876699964756E-2</v>
      </c>
      <c r="J45" s="45">
        <f>IF(ISERROR(AVERAGE(J24:J28,J14:J18,J34:J38)),"NA",AVERAGE(J24:J28,J14:J18,J34:J38))</f>
        <v>5.5420106970851112E-2</v>
      </c>
      <c r="K45" s="45"/>
      <c r="L45" s="45">
        <f>+AVERAGE(L24:L28,L14:L18,L34:L38)</f>
        <v>0</v>
      </c>
      <c r="M45" s="44">
        <f>+AVERAGE(M24:M28,M14:M18,M34:M38)</f>
        <v>0</v>
      </c>
      <c r="N45" s="44">
        <f>+AVERAGE(N24:N28,N14:N18,N34:N38)</f>
        <v>0</v>
      </c>
      <c r="O45" s="44"/>
      <c r="P45" s="44">
        <f>+AVERAGE(P24:P28,P14:P18,P34:P38)</f>
        <v>0</v>
      </c>
      <c r="Q45" s="44">
        <f>+AVERAGE(Q24:Q28,Q14:Q18,Q34:Q38)</f>
        <v>0</v>
      </c>
      <c r="R45" s="44">
        <f>+AVERAGE(R24:R28,R14:R18,R34:R38)</f>
        <v>0</v>
      </c>
      <c r="S45" s="74"/>
      <c r="T45" s="74"/>
      <c r="U45" s="75"/>
      <c r="V45" s="76"/>
      <c r="W45" s="2"/>
      <c r="X45" s="2"/>
      <c r="Y45" s="2"/>
      <c r="Z45" s="2"/>
    </row>
    <row r="46" spans="1:26" ht="12.75" customHeight="1" x14ac:dyDescent="0.2">
      <c r="A46" s="2"/>
      <c r="B46" s="42" t="s">
        <v>44</v>
      </c>
      <c r="C46" s="42"/>
      <c r="D46" s="42"/>
      <c r="E46" s="70">
        <f>MEDIAN(E24:E28,E14:E18,E34:E38)</f>
        <v>1</v>
      </c>
      <c r="F46" s="43"/>
      <c r="G46" s="45">
        <f>MEDIAN(G24:G28,G14:G18,G34:G38)</f>
        <v>0.25703275045087998</v>
      </c>
      <c r="H46" s="45">
        <f>MEDIAN(H24:H28,H14:H18,H34:H38)</f>
        <v>0.21304976047580973</v>
      </c>
      <c r="I46" s="45">
        <f>MEDIAN(I24:I28,I14:I18,I34:I38)</f>
        <v>2.0678444859810949E-2</v>
      </c>
      <c r="J46" s="45">
        <f>IF(ISERROR(MEDIAN(J24:J28,J14:J18,J34:J38)),"NA",MEDIAN(J24:J28,J14:J18,J34:J38))</f>
        <v>8.0971659919028341E-2</v>
      </c>
      <c r="K46" s="45"/>
      <c r="L46" s="45">
        <f>MEDIAN(L24:L28,L14:L18,L34:L38)</f>
        <v>0</v>
      </c>
      <c r="M46" s="44">
        <f>MEDIAN(M24:M28,M14:M18,M34:M38)</f>
        <v>0</v>
      </c>
      <c r="N46" s="44">
        <f>MEDIAN(N24:N28,N14:N18,N34:N38)</f>
        <v>0</v>
      </c>
      <c r="O46" s="44"/>
      <c r="P46" s="44">
        <f>MEDIAN(P24:P28,P14:P18,P34:P38)</f>
        <v>0</v>
      </c>
      <c r="Q46" s="44">
        <f>MEDIAN(Q24:Q28,Q14:Q18,Q34:Q38)</f>
        <v>0</v>
      </c>
      <c r="R46" s="44">
        <f>MEDIAN(R24:R28,R14:R18,R34:R38)</f>
        <v>0</v>
      </c>
      <c r="S46" s="74"/>
      <c r="T46" s="74"/>
      <c r="U46" s="75"/>
      <c r="V46" s="76"/>
      <c r="W46" s="2"/>
      <c r="X46" s="2"/>
      <c r="Y46" s="2"/>
      <c r="Z46" s="2"/>
    </row>
    <row r="47" spans="1:26" ht="12.75" customHeight="1" x14ac:dyDescent="0.2">
      <c r="A47" s="2"/>
      <c r="B47" s="46"/>
      <c r="C47" s="46"/>
      <c r="D47" s="46"/>
      <c r="E47" s="66"/>
      <c r="F47" s="47"/>
      <c r="G47" s="33"/>
      <c r="H47" s="33"/>
      <c r="I47" s="33"/>
      <c r="J47" s="33"/>
      <c r="K47" s="33"/>
      <c r="L47" s="33"/>
      <c r="M47" s="48"/>
      <c r="N47" s="48"/>
      <c r="O47" s="48"/>
      <c r="P47" s="48"/>
      <c r="Q47" s="48"/>
      <c r="R47" s="48"/>
      <c r="S47" s="48"/>
      <c r="T47" s="48"/>
      <c r="U47" s="50"/>
      <c r="V47" s="48"/>
      <c r="W47" s="2"/>
      <c r="X47" s="2"/>
      <c r="Y47" s="2"/>
      <c r="Z47" s="2"/>
    </row>
    <row r="48" spans="1:26" ht="12.75" customHeight="1" x14ac:dyDescent="0.2">
      <c r="A48" s="2"/>
      <c r="B48" s="42" t="s">
        <v>49</v>
      </c>
      <c r="C48" s="42"/>
      <c r="D48" s="42"/>
      <c r="E48" s="70">
        <f>MAX(E24:E28,E14:E18,E34:E38)</f>
        <v>1</v>
      </c>
      <c r="F48" s="43"/>
      <c r="G48" s="45">
        <f>MAX(G24:G28,G14:G18,G34:G38)</f>
        <v>0.37063047495839024</v>
      </c>
      <c r="H48" s="45">
        <f>MAX(H24:H28,H14:H18,H34:H38)</f>
        <v>0.31632485612272582</v>
      </c>
      <c r="I48" s="45">
        <f>MAX(I24:I28,I14:I18,I34:I38)</f>
        <v>3.0722905839502834E-2</v>
      </c>
      <c r="J48" s="45">
        <f>MAX(J24:J28,J14:J18,J34:J38)</f>
        <v>0.10566037735849057</v>
      </c>
      <c r="K48" s="45"/>
      <c r="L48" s="45">
        <f>MAX(L24:L28,L14:L18,L34:L38)</f>
        <v>0</v>
      </c>
      <c r="M48" s="44">
        <f>MAX(M24:M28,M14:M18,M34:M38)</f>
        <v>0</v>
      </c>
      <c r="N48" s="44">
        <f>MAX(N24:N28,N14:N18,N34:N38)</f>
        <v>0</v>
      </c>
      <c r="O48" s="44"/>
      <c r="P48" s="44">
        <f>MAX(P24:P28,P14:P18,P34:P38)</f>
        <v>0</v>
      </c>
      <c r="Q48" s="44">
        <f>MAX(Q24:Q28,Q14:Q18,Q34:Q38)</f>
        <v>0</v>
      </c>
      <c r="R48" s="44">
        <f>MAX(R24:R28,R14:R18,R34:R38)</f>
        <v>0</v>
      </c>
      <c r="S48" s="74"/>
      <c r="T48" s="74"/>
      <c r="U48" s="75"/>
      <c r="V48" s="76"/>
      <c r="W48" s="2"/>
      <c r="X48" s="2"/>
      <c r="Y48" s="2"/>
      <c r="Z48" s="2"/>
    </row>
    <row r="49" spans="1:26" ht="12.75" customHeight="1" x14ac:dyDescent="0.2">
      <c r="A49" s="2"/>
      <c r="B49" s="42" t="s">
        <v>50</v>
      </c>
      <c r="C49" s="42"/>
      <c r="D49" s="42"/>
      <c r="E49" s="70">
        <f>MIN(E24:E28,E14:E18,E34:E38)</f>
        <v>1</v>
      </c>
      <c r="F49" s="43"/>
      <c r="G49" s="45">
        <f>MIN(G24:G28,G14:G18,G34:G38)</f>
        <v>0.22440791549556774</v>
      </c>
      <c r="H49" s="45">
        <f>MIN(H24:H28,H14:H18,H34:H38)</f>
        <v>0.18147299381324083</v>
      </c>
      <c r="I49" s="45">
        <f>MIN(I24:I28,I14:I18,I34:I38)</f>
        <v>1.7395155013358556E-2</v>
      </c>
      <c r="J49" s="45">
        <f>MIN(J24:J28,J14:J18,J34:J38)</f>
        <v>0</v>
      </c>
      <c r="K49" s="45"/>
      <c r="L49" s="45">
        <f>MIN(L24:L28,L14:L18,L34:L38)</f>
        <v>0</v>
      </c>
      <c r="M49" s="44">
        <f>MIN(M24:M28,M14:M18,M34:M38)</f>
        <v>0</v>
      </c>
      <c r="N49" s="44">
        <f>MIN(N24:N28,N14:N18,N34:N38)</f>
        <v>0</v>
      </c>
      <c r="O49" s="44"/>
      <c r="P49" s="44">
        <f>MIN(P24:P28,P14:P18,P34:P38)</f>
        <v>0</v>
      </c>
      <c r="Q49" s="44">
        <f>MIN(Q24:Q28,Q14:Q18,Q34:Q38)</f>
        <v>0</v>
      </c>
      <c r="R49" s="44">
        <f>MIN(R24:R28,R14:R18,R34:R38)</f>
        <v>0</v>
      </c>
      <c r="S49" s="74"/>
      <c r="T49" s="74"/>
      <c r="U49" s="75"/>
      <c r="V49" s="76"/>
      <c r="W49" s="2"/>
      <c r="X49" s="2"/>
      <c r="Y49" s="2"/>
      <c r="Z49" s="2"/>
    </row>
    <row r="50" spans="1:26" ht="12.75" customHeight="1" x14ac:dyDescent="0.2">
      <c r="A50" s="2"/>
      <c r="B50" s="2"/>
      <c r="C50" s="30"/>
      <c r="D50" s="2"/>
      <c r="E50" s="69"/>
      <c r="F50" s="47"/>
      <c r="G50" s="28"/>
      <c r="H50" s="48"/>
      <c r="I50" s="48"/>
      <c r="J50" s="48"/>
      <c r="K50" s="48"/>
      <c r="L50" s="48"/>
      <c r="M50" s="48"/>
      <c r="N50" s="48"/>
      <c r="O50" s="48"/>
      <c r="P50" s="48"/>
      <c r="Q50" s="48"/>
      <c r="R50" s="48"/>
      <c r="S50" s="48"/>
      <c r="T50" s="50"/>
      <c r="U50" s="50"/>
      <c r="V50" s="48"/>
      <c r="W50" s="2"/>
      <c r="X50" s="2"/>
      <c r="Y50" s="2"/>
      <c r="Z50" s="2"/>
    </row>
    <row r="51" spans="1:26" ht="12.75" customHeight="1" x14ac:dyDescent="0.2">
      <c r="A51" s="2"/>
      <c r="B51" s="51" t="s">
        <v>51</v>
      </c>
      <c r="C51" s="60"/>
      <c r="D51" s="60"/>
      <c r="E51" s="60"/>
      <c r="F51" s="60"/>
      <c r="G51" s="58"/>
      <c r="H51" s="58"/>
      <c r="I51" s="58"/>
      <c r="J51" s="58"/>
      <c r="K51" s="58"/>
      <c r="L51" s="58"/>
      <c r="M51" s="58"/>
      <c r="N51" s="58"/>
      <c r="O51" s="58"/>
      <c r="P51" s="58"/>
      <c r="Q51" s="58"/>
      <c r="R51" s="58"/>
      <c r="S51" s="58"/>
      <c r="T51" s="77"/>
      <c r="U51" s="77"/>
      <c r="V51" s="58"/>
      <c r="W51" s="2"/>
      <c r="X51" s="2"/>
      <c r="Y51" s="2"/>
      <c r="Z51" s="2"/>
    </row>
    <row r="52" spans="1:26" ht="12.75" customHeight="1" x14ac:dyDescent="0.2">
      <c r="A52" s="2"/>
      <c r="B52" s="59" t="s">
        <v>52</v>
      </c>
      <c r="C52" s="59"/>
      <c r="D52" s="59"/>
      <c r="E52" s="59"/>
      <c r="F52" s="59"/>
      <c r="G52" s="58"/>
      <c r="H52" s="58"/>
      <c r="I52" s="58"/>
      <c r="J52" s="58"/>
      <c r="K52" s="58"/>
      <c r="L52" s="58"/>
      <c r="M52" s="58"/>
      <c r="N52" s="58"/>
      <c r="O52" s="58"/>
      <c r="P52" s="58"/>
      <c r="Q52" s="58"/>
      <c r="R52" s="58"/>
      <c r="S52" s="58"/>
      <c r="T52" s="77"/>
      <c r="U52" s="77"/>
      <c r="V52" s="58"/>
      <c r="W52" s="2"/>
      <c r="X52" s="2"/>
      <c r="Y52" s="2"/>
      <c r="Z52" s="2"/>
    </row>
    <row r="53" spans="1:26" ht="12.75" customHeight="1" x14ac:dyDescent="0.2">
      <c r="A53" s="2"/>
      <c r="B53" s="59"/>
      <c r="C53" s="59"/>
      <c r="D53" s="59"/>
      <c r="E53" s="59"/>
      <c r="F53" s="59"/>
      <c r="G53" s="58"/>
      <c r="H53" s="58"/>
      <c r="I53" s="58"/>
      <c r="J53" s="58"/>
      <c r="K53" s="58"/>
      <c r="L53" s="58"/>
      <c r="M53" s="58"/>
      <c r="N53" s="58"/>
      <c r="O53" s="58"/>
      <c r="P53" s="58"/>
      <c r="Q53" s="58"/>
      <c r="R53" s="58"/>
      <c r="S53" s="58"/>
      <c r="T53" s="77"/>
      <c r="U53" s="77"/>
      <c r="V53" s="58"/>
      <c r="W53" s="2"/>
      <c r="X53" s="2"/>
      <c r="Y53" s="2"/>
      <c r="Z53" s="2"/>
    </row>
    <row r="54" spans="1:26" ht="12.75" customHeight="1" x14ac:dyDescent="0.2">
      <c r="A54" s="2"/>
      <c r="B54" s="59"/>
      <c r="C54" s="59"/>
      <c r="D54" s="59"/>
      <c r="E54" s="59"/>
      <c r="F54" s="59"/>
      <c r="G54" s="58"/>
      <c r="H54" s="58"/>
      <c r="I54" s="58"/>
      <c r="J54" s="58"/>
      <c r="K54" s="58"/>
      <c r="L54" s="58"/>
      <c r="M54" s="58"/>
      <c r="N54" s="58"/>
      <c r="O54" s="58"/>
      <c r="P54" s="58"/>
      <c r="Q54" s="58"/>
      <c r="R54" s="58"/>
      <c r="S54" s="58"/>
      <c r="T54" s="77"/>
      <c r="U54" s="77"/>
      <c r="V54" s="58"/>
      <c r="W54" s="2"/>
      <c r="X54" s="2"/>
      <c r="Y54" s="2"/>
      <c r="Z54" s="2"/>
    </row>
    <row r="55" spans="1:26" ht="12.75" customHeight="1" x14ac:dyDescent="0.2">
      <c r="A55" s="2"/>
      <c r="B55" s="59"/>
      <c r="C55" s="59"/>
      <c r="D55" s="59"/>
      <c r="E55" s="59"/>
      <c r="F55" s="59"/>
      <c r="G55" s="58"/>
      <c r="H55" s="58"/>
      <c r="I55" s="58"/>
      <c r="J55" s="58"/>
      <c r="K55" s="58"/>
      <c r="L55" s="58"/>
      <c r="M55" s="58"/>
      <c r="N55" s="58"/>
      <c r="O55" s="58"/>
      <c r="P55" s="58"/>
      <c r="Q55" s="58"/>
      <c r="R55" s="58"/>
      <c r="S55" s="58"/>
      <c r="T55" s="77"/>
      <c r="U55" s="77"/>
      <c r="V55" s="58"/>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9">
    <mergeCell ref="B23:U23"/>
    <mergeCell ref="G6:J6"/>
    <mergeCell ref="D6:E6"/>
    <mergeCell ref="B43:U43"/>
    <mergeCell ref="B13:U13"/>
    <mergeCell ref="T6:U6"/>
    <mergeCell ref="B33:U33"/>
    <mergeCell ref="L6:N6"/>
    <mergeCell ref="P6:R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5" width="8.7109375" style="151" customWidth="1"/>
    <col min="6" max="6" width="9.28515625" style="151" customWidth="1"/>
    <col min="7" max="7" width="10.5703125" style="151" customWidth="1"/>
    <col min="8" max="8" width="1" style="151" customWidth="1"/>
    <col min="9" max="9" width="7.7109375" style="151" customWidth="1"/>
    <col min="10" max="11" width="8.7109375" style="151" customWidth="1"/>
    <col min="12" max="12" width="0.85546875" style="151" customWidth="1"/>
    <col min="13" max="15" width="7.7109375" style="151" customWidth="1"/>
    <col min="16" max="16" width="0.85546875" style="151" customWidth="1"/>
    <col min="17" max="19" width="7.7109375" style="151" customWidth="1"/>
    <col min="20" max="20" width="0.85546875" style="151" customWidth="1"/>
    <col min="21" max="22" width="7.7109375" style="151" customWidth="1"/>
    <col min="23" max="23" width="0.85546875" style="151" customWidth="1"/>
    <col min="24" max="26" width="7.7109375" style="151" customWidth="1"/>
    <col min="27" max="27" width="0.85546875" style="151" customWidth="1"/>
    <col min="28" max="28" width="7.7109375" style="151" customWidth="1"/>
    <col min="29" max="29" width="0.85546875" style="151" customWidth="1"/>
  </cols>
  <sheetData>
    <row r="1" spans="1:29" ht="26.25" customHeight="1" x14ac:dyDescent="0.4">
      <c r="A1" s="17" t="s">
        <v>14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9" ht="20.25" customHeight="1" x14ac:dyDescent="0.3">
      <c r="A2" s="78" t="s">
        <v>79</v>
      </c>
      <c r="B2" s="18"/>
      <c r="C2" s="18"/>
      <c r="D2" s="18"/>
      <c r="E2" s="18"/>
      <c r="F2" s="18"/>
      <c r="G2" s="155"/>
      <c r="H2" s="18"/>
      <c r="I2" s="18"/>
      <c r="J2" s="18"/>
      <c r="K2" s="18"/>
      <c r="L2" s="18"/>
      <c r="M2" s="18"/>
      <c r="N2" s="18"/>
      <c r="O2" s="18"/>
      <c r="P2" s="18"/>
      <c r="Q2" s="18"/>
      <c r="R2" s="18"/>
      <c r="S2" s="18"/>
      <c r="T2" s="18"/>
      <c r="U2" s="18"/>
      <c r="V2" s="18"/>
      <c r="W2" s="18"/>
      <c r="X2" s="18"/>
      <c r="Y2" s="18"/>
      <c r="Z2" s="79"/>
      <c r="AA2" s="18"/>
      <c r="AB2" s="18"/>
      <c r="AC2" s="18"/>
    </row>
    <row r="3" spans="1:29" ht="12.75" customHeight="1" x14ac:dyDescent="0.2">
      <c r="A3" s="22" t="s">
        <v>16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ht="12.7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ht="12.75" customHeight="1" x14ac:dyDescent="0.2">
      <c r="A5" s="27"/>
      <c r="B5" s="28"/>
      <c r="C5" s="28"/>
      <c r="D5" s="28"/>
      <c r="E5" s="28"/>
      <c r="F5" s="28"/>
      <c r="G5" s="80"/>
      <c r="H5" s="80"/>
      <c r="I5" s="28"/>
      <c r="J5" s="28"/>
      <c r="K5" s="28"/>
      <c r="L5" s="28"/>
      <c r="M5" s="28"/>
      <c r="N5" s="28"/>
      <c r="O5" s="28"/>
      <c r="P5" s="28"/>
      <c r="Q5" s="28"/>
      <c r="R5" s="28"/>
      <c r="S5" s="28"/>
      <c r="T5" s="81"/>
      <c r="U5" s="82"/>
      <c r="V5" s="82"/>
      <c r="W5" s="82"/>
      <c r="X5" s="28"/>
      <c r="Y5" s="28"/>
      <c r="Z5" s="28"/>
      <c r="AA5" s="28"/>
      <c r="AB5" s="28"/>
      <c r="AC5" s="28"/>
    </row>
    <row r="6" spans="1:29" ht="15" customHeight="1" x14ac:dyDescent="0.2">
      <c r="A6" s="27"/>
      <c r="B6" s="28"/>
      <c r="C6" s="28"/>
      <c r="D6" s="27" t="s">
        <v>80</v>
      </c>
      <c r="E6" s="27" t="s">
        <v>81</v>
      </c>
      <c r="F6" s="28"/>
      <c r="G6" s="28"/>
      <c r="H6" s="80"/>
      <c r="I6" s="264" t="s">
        <v>82</v>
      </c>
      <c r="J6" s="263"/>
      <c r="K6" s="263"/>
      <c r="L6" s="263"/>
      <c r="M6" s="263"/>
      <c r="N6" s="263"/>
      <c r="O6" s="263"/>
      <c r="P6" s="263"/>
      <c r="Q6" s="263"/>
      <c r="R6" s="263"/>
      <c r="S6" s="263"/>
      <c r="T6" s="28"/>
      <c r="U6" s="27" t="s">
        <v>19</v>
      </c>
      <c r="V6" s="27" t="s">
        <v>83</v>
      </c>
      <c r="W6" s="27"/>
      <c r="X6" s="264" t="s">
        <v>84</v>
      </c>
      <c r="Y6" s="263"/>
      <c r="Z6" s="263"/>
      <c r="AA6" s="28"/>
      <c r="AB6" s="27" t="s">
        <v>41</v>
      </c>
      <c r="AC6" s="28"/>
    </row>
    <row r="7" spans="1:29" ht="12.75" customHeight="1" x14ac:dyDescent="0.2">
      <c r="A7" s="27"/>
      <c r="B7" s="28"/>
      <c r="C7" s="27"/>
      <c r="D7" s="27" t="s">
        <v>85</v>
      </c>
      <c r="E7" s="27" t="s">
        <v>86</v>
      </c>
      <c r="F7" s="27" t="s">
        <v>33</v>
      </c>
      <c r="G7" s="27" t="s">
        <v>18</v>
      </c>
      <c r="H7" s="80"/>
      <c r="I7" s="27" t="s">
        <v>19</v>
      </c>
      <c r="J7" s="27" t="s">
        <v>87</v>
      </c>
      <c r="K7" s="27" t="s">
        <v>88</v>
      </c>
      <c r="L7" s="27"/>
      <c r="M7" s="27" t="s">
        <v>19</v>
      </c>
      <c r="N7" s="27" t="s">
        <v>87</v>
      </c>
      <c r="O7" s="27" t="s">
        <v>88</v>
      </c>
      <c r="P7" s="27"/>
      <c r="Q7" s="27" t="s">
        <v>19</v>
      </c>
      <c r="R7" s="27" t="s">
        <v>87</v>
      </c>
      <c r="S7" s="27" t="s">
        <v>88</v>
      </c>
      <c r="T7" s="27"/>
      <c r="U7" s="27" t="s">
        <v>31</v>
      </c>
      <c r="V7" s="27" t="s">
        <v>61</v>
      </c>
      <c r="W7" s="27"/>
      <c r="X7" s="27" t="s">
        <v>19</v>
      </c>
      <c r="Y7" s="27" t="s">
        <v>87</v>
      </c>
      <c r="Z7" s="27" t="s">
        <v>88</v>
      </c>
      <c r="AA7" s="28"/>
      <c r="AB7" s="27" t="s">
        <v>32</v>
      </c>
      <c r="AC7" s="28"/>
    </row>
    <row r="8" spans="1:29" ht="15" customHeight="1" x14ac:dyDescent="0.2">
      <c r="A8" s="156"/>
      <c r="B8" s="83" t="s">
        <v>5</v>
      </c>
      <c r="C8" s="152" t="s">
        <v>20</v>
      </c>
      <c r="D8" s="156" t="s">
        <v>89</v>
      </c>
      <c r="E8" s="84" t="s">
        <v>49</v>
      </c>
      <c r="F8" s="152" t="s">
        <v>22</v>
      </c>
      <c r="G8" s="152" t="s">
        <v>22</v>
      </c>
      <c r="H8" s="85"/>
      <c r="I8" s="152" t="s">
        <v>23</v>
      </c>
      <c r="J8" s="152" t="s">
        <v>23</v>
      </c>
      <c r="K8" s="152" t="s">
        <v>23</v>
      </c>
      <c r="L8" s="152"/>
      <c r="M8" s="152" t="s">
        <v>31</v>
      </c>
      <c r="N8" s="152" t="s">
        <v>31</v>
      </c>
      <c r="O8" s="152" t="s">
        <v>31</v>
      </c>
      <c r="P8" s="152"/>
      <c r="Q8" s="152" t="s">
        <v>35</v>
      </c>
      <c r="R8" s="152" t="s">
        <v>35</v>
      </c>
      <c r="S8" s="152" t="s">
        <v>35</v>
      </c>
      <c r="T8" s="152"/>
      <c r="U8" s="152" t="s">
        <v>90</v>
      </c>
      <c r="V8" s="152" t="s">
        <v>31</v>
      </c>
      <c r="W8" s="152"/>
      <c r="X8" s="152" t="s">
        <v>32</v>
      </c>
      <c r="Y8" s="152" t="s">
        <v>32</v>
      </c>
      <c r="Z8" s="152" t="s">
        <v>32</v>
      </c>
      <c r="AA8" s="28"/>
      <c r="AB8" s="152" t="s">
        <v>91</v>
      </c>
      <c r="AC8" s="28"/>
    </row>
    <row r="9" spans="1:29" ht="3.75" customHeight="1" x14ac:dyDescent="0.2">
      <c r="A9" s="86"/>
      <c r="B9" s="87"/>
      <c r="C9" s="27"/>
      <c r="D9" s="86"/>
      <c r="E9" s="86"/>
      <c r="F9" s="28"/>
      <c r="G9" s="28"/>
      <c r="H9" s="28"/>
      <c r="I9" s="28"/>
      <c r="J9" s="28"/>
      <c r="K9" s="28"/>
      <c r="L9" s="28"/>
      <c r="M9" s="88"/>
      <c r="N9" s="28"/>
      <c r="O9" s="89"/>
      <c r="P9" s="28"/>
      <c r="Q9" s="28"/>
      <c r="R9" s="28"/>
      <c r="S9" s="28"/>
      <c r="T9" s="28"/>
      <c r="U9" s="28"/>
      <c r="V9" s="28"/>
      <c r="W9" s="28"/>
      <c r="X9" s="88"/>
      <c r="Y9" s="28"/>
      <c r="Z9" s="89"/>
      <c r="AA9" s="28"/>
      <c r="AB9" s="28"/>
      <c r="AC9" s="28"/>
    </row>
    <row r="10" spans="1:29" ht="12.75" customHeight="1" x14ac:dyDescent="0.2">
      <c r="A10" s="28"/>
      <c r="B10" s="28" t="str">
        <f>TargetCo!$E$7</f>
        <v>Ngân hàng Thương mại Cổ phần Đầu tư và Phát triển Việt Nam</v>
      </c>
      <c r="C10" s="28" t="str">
        <f>+TargetCo!$E$8</f>
        <v>BID</v>
      </c>
      <c r="D10" s="157">
        <f>+TargetCo!$E$17</f>
        <v>41650</v>
      </c>
      <c r="E10" s="90">
        <f>+TargetCo!$E$18</f>
        <v>0.73586572438162545</v>
      </c>
      <c r="F10" s="31">
        <f>+TargetCo!$E$24</f>
        <v>303214715.99650002</v>
      </c>
      <c r="G10" s="31">
        <f>+TargetCo!$E$30</f>
        <v>303740581.99650002</v>
      </c>
      <c r="H10" s="28"/>
      <c r="I10" s="48">
        <f>+TargetCo!$C$35</f>
        <v>3.3299801393990998</v>
      </c>
      <c r="J10" s="48">
        <f>+TargetCo!$D$35</f>
        <v>2.9731965530349105</v>
      </c>
      <c r="K10" s="48">
        <f>+TargetCo!$E$35</f>
        <v>2.70684318375356</v>
      </c>
      <c r="L10" s="48"/>
      <c r="M10" s="91">
        <f>+TargetCo!$C$37</f>
        <v>4.9968690580079222</v>
      </c>
      <c r="N10" s="48">
        <f>+TargetCo!$D$37</f>
        <v>4.4614902303642161</v>
      </c>
      <c r="O10" s="92">
        <f>+TargetCo!$E$37</f>
        <v>4.0618082942135985</v>
      </c>
      <c r="P10" s="48"/>
      <c r="Q10" s="48">
        <f>+TargetCo!$C$39</f>
        <v>4.9968690580079222</v>
      </c>
      <c r="R10" s="48">
        <f>+TargetCo!$D$39</f>
        <v>4.4614902303642161</v>
      </c>
      <c r="S10" s="48">
        <f>+TargetCo!$E$39</f>
        <v>4.0618082942135985</v>
      </c>
      <c r="T10" s="48"/>
      <c r="U10" s="33">
        <f>+TargetCo!$N$42</f>
        <v>0.6664133281744723</v>
      </c>
      <c r="V10" s="93">
        <f>+TargetCo!$E$52</f>
        <v>0</v>
      </c>
      <c r="W10" s="48"/>
      <c r="X10" s="91">
        <f>+TargetCo!$C$41</f>
        <v>5.7315301614224516</v>
      </c>
      <c r="Y10" s="48">
        <f>+TargetCo!$D$41</f>
        <v>9.8536036036036041</v>
      </c>
      <c r="Z10" s="92">
        <f>+TargetCo!$E$41</f>
        <v>8.9708699959974538</v>
      </c>
      <c r="AA10" s="28"/>
      <c r="AB10" s="33">
        <f>+TargetCo!$E$66</f>
        <v>9.8399999999999987E-2</v>
      </c>
      <c r="AC10" s="33"/>
    </row>
    <row r="11" spans="1:29" ht="12.75" customHeight="1" x14ac:dyDescent="0.2">
      <c r="A11" s="2"/>
      <c r="B11" s="2"/>
      <c r="C11" s="2"/>
      <c r="D11" s="2"/>
      <c r="E11" s="2"/>
      <c r="F11" s="2"/>
      <c r="G11" s="37"/>
      <c r="H11" s="37"/>
      <c r="I11" s="37"/>
      <c r="J11" s="37"/>
      <c r="K11" s="30"/>
      <c r="L11" s="37"/>
      <c r="M11" s="94"/>
      <c r="N11" s="37"/>
      <c r="O11" s="95"/>
      <c r="P11" s="37"/>
      <c r="Q11" s="37"/>
      <c r="R11" s="37"/>
      <c r="S11" s="37"/>
      <c r="T11" s="67"/>
      <c r="U11" s="67"/>
      <c r="V11" s="30"/>
      <c r="W11" s="2"/>
      <c r="X11" s="96"/>
      <c r="Y11" s="2"/>
      <c r="Z11" s="97"/>
      <c r="AA11" s="2"/>
      <c r="AB11" s="2"/>
      <c r="AC11" s="2"/>
    </row>
    <row r="12" spans="1:29" ht="15" customHeight="1" x14ac:dyDescent="0.2">
      <c r="A12" s="2"/>
      <c r="B12" s="265" t="s">
        <v>42</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
    </row>
    <row r="13" spans="1:29" ht="12.75" customHeight="1" x14ac:dyDescent="0.2">
      <c r="A13" s="2"/>
      <c r="B13" s="2" t="str">
        <f>'CompCo 1'!$E$7</f>
        <v>Ngân hàng Thương mại Cổ phần Ngoại thương Việt Nam</v>
      </c>
      <c r="C13" s="2" t="str">
        <f>+'CompCo 1'!$E$8</f>
        <v>VCB</v>
      </c>
      <c r="D13" s="158">
        <f>+'CompCo 1'!$E$17</f>
        <v>61700</v>
      </c>
      <c r="E13" s="98">
        <f>+'CompCo 1'!$E$18</f>
        <v>0.78299492385786806</v>
      </c>
      <c r="F13" s="38">
        <f>+'CompCo 1'!$E$24</f>
        <v>515545153.29980004</v>
      </c>
      <c r="G13" s="38">
        <f>+'CompCo 1'!$E$30</f>
        <v>515565430.29980004</v>
      </c>
      <c r="H13" s="2"/>
      <c r="I13" s="67">
        <f>+'CompCo 1'!$C$35</f>
        <v>7.1157010563080441</v>
      </c>
      <c r="J13" s="67">
        <f>+'CompCo 1'!$D$35</f>
        <v>6.7992651626459155</v>
      </c>
      <c r="K13" s="67">
        <f>+'CompCo 1'!$E$35</f>
        <v>6.5493260487749314</v>
      </c>
      <c r="L13" s="67"/>
      <c r="M13" s="99">
        <f>+'CompCo 1'!$C$37</f>
        <v>10.920261018088627</v>
      </c>
      <c r="N13" s="67">
        <f>+'CompCo 1'!$D$37</f>
        <v>10.434635985932553</v>
      </c>
      <c r="O13" s="100">
        <f>+'CompCo 1'!$E$37</f>
        <v>10.05106164230814</v>
      </c>
      <c r="P13" s="67"/>
      <c r="Q13" s="67">
        <f>+'CompCo 1'!$C$39</f>
        <v>10.920261018088627</v>
      </c>
      <c r="R13" s="67">
        <f>+'CompCo 1'!$D$39</f>
        <v>10.434635985932553</v>
      </c>
      <c r="S13" s="67">
        <f>+'CompCo 1'!$E$39</f>
        <v>10.05106164230814</v>
      </c>
      <c r="T13" s="67"/>
      <c r="U13" s="39">
        <f>+'CompCo 1'!$N$42</f>
        <v>0.65160540068789541</v>
      </c>
      <c r="V13" s="73">
        <f>+'CompCo 1'!$E$52</f>
        <v>0</v>
      </c>
      <c r="W13" s="67"/>
      <c r="X13" s="99">
        <f>+'CompCo 1'!$C$41</f>
        <v>13.436204904006788</v>
      </c>
      <c r="Y13" s="67">
        <f>+'CompCo 1'!$D$41</f>
        <v>15.297404050466859</v>
      </c>
      <c r="Z13" s="100">
        <f>+'CompCo 1'!$E$41</f>
        <v>14.735075692704706</v>
      </c>
      <c r="AA13" s="2"/>
      <c r="AB13" s="39">
        <f>+'CompCo 1'!$E$66</f>
        <v>3.8162570012487927E-2</v>
      </c>
      <c r="AC13" s="39"/>
    </row>
    <row r="14" spans="1:29" ht="12.75" customHeight="1" x14ac:dyDescent="0.2">
      <c r="A14" s="2"/>
      <c r="B14" s="2" t="str">
        <f>'CompCo 2'!$E$7</f>
        <v>Ngân hàng Thương mại Cổ phần Công thương Việt Nam</v>
      </c>
      <c r="C14" s="2" t="str">
        <f>+'CompCo 2'!$E$8</f>
        <v>CTG</v>
      </c>
      <c r="D14" s="159">
        <f>+'CompCo 2'!$E$17</f>
        <v>33500</v>
      </c>
      <c r="E14" s="98">
        <f>+'CompCo 2'!$E$18</f>
        <v>0.77011494252873558</v>
      </c>
      <c r="F14" s="41">
        <f>+'CompCo 2'!$E$24</f>
        <v>260192645.33949998</v>
      </c>
      <c r="G14" s="41">
        <f>+'CompCo 2'!$E$30</f>
        <v>260459430.33949998</v>
      </c>
      <c r="H14" s="2"/>
      <c r="I14" s="67">
        <f>+'CompCo 2'!$C$35</f>
        <v>2.9836767271354536</v>
      </c>
      <c r="J14" s="67">
        <f>+'CompCo 2'!$D$35</f>
        <v>2.7455410245651053</v>
      </c>
      <c r="K14" s="67">
        <f>+'CompCo 2'!$E$35</f>
        <v>2.5632358501239549</v>
      </c>
      <c r="L14" s="67"/>
      <c r="M14" s="99">
        <f>+'CompCo 2'!$C$37</f>
        <v>4.2879722303472239</v>
      </c>
      <c r="N14" s="67">
        <f>+'CompCo 2'!$D$37</f>
        <v>3.9457370041281195</v>
      </c>
      <c r="O14" s="100">
        <f>+'CompCo 2'!$E$37</f>
        <v>3.6837382700351133</v>
      </c>
      <c r="P14" s="67"/>
      <c r="Q14" s="67">
        <f>+'CompCo 2'!$C$39</f>
        <v>4.2879722303472239</v>
      </c>
      <c r="R14" s="67">
        <f>+'CompCo 2'!$D$39</f>
        <v>3.9457370041281195</v>
      </c>
      <c r="S14" s="67">
        <f>+'CompCo 2'!$E$39</f>
        <v>3.6837382700351133</v>
      </c>
      <c r="T14" s="67"/>
      <c r="U14" s="39">
        <f>+'CompCo 2'!$N$42</f>
        <v>0.69582463851307319</v>
      </c>
      <c r="V14" s="73">
        <f>+'CompCo 2'!$E$52</f>
        <v>0</v>
      </c>
      <c r="W14" s="67"/>
      <c r="X14" s="99">
        <f>+'CompCo 2'!$C$41</f>
        <v>5.0131007148937634</v>
      </c>
      <c r="Y14" s="67">
        <f>+'CompCo 2'!$D$41</f>
        <v>6.9194769875949449</v>
      </c>
      <c r="Z14" s="100">
        <f>+'CompCo 2'!$E$41</f>
        <v>6.4600205642603745</v>
      </c>
      <c r="AA14" s="2"/>
      <c r="AB14" s="39">
        <f>+'CompCo 2'!$E$66</f>
        <v>7.1123058938307657E-2</v>
      </c>
      <c r="AC14" s="39"/>
    </row>
    <row r="15" spans="1:29" ht="12.75" customHeight="1" x14ac:dyDescent="0.2">
      <c r="A15" s="2"/>
      <c r="B15" s="2" t="str">
        <f>'CompCo 3'!$E$7</f>
        <v>Ngân hàng Thương mại Cổ phần Quân đội</v>
      </c>
      <c r="C15" s="2" t="str">
        <f>+'CompCo 3'!$E$8</f>
        <v>MBB</v>
      </c>
      <c r="D15" s="159">
        <f>+'CompCo 3'!$E$17</f>
        <v>24700</v>
      </c>
      <c r="E15" s="98">
        <f>+'CompCo 3'!$E$18</f>
        <v>0.83728813559322035</v>
      </c>
      <c r="F15" s="41">
        <f>+'CompCo 3'!$E$24</f>
        <v>198958497.75229999</v>
      </c>
      <c r="G15" s="41">
        <f>+'CompCo 3'!$E$30</f>
        <v>199562536.75229999</v>
      </c>
      <c r="H15" s="2"/>
      <c r="I15" s="67">
        <f>+'CompCo 3'!$C$35</f>
        <v>2.9480521255006886</v>
      </c>
      <c r="J15" s="67">
        <f>+'CompCo 3'!$D$35</f>
        <v>2.6321893977684714</v>
      </c>
      <c r="K15" s="67">
        <f>+'CompCo 3'!$E$35</f>
        <v>2.3963851035765398</v>
      </c>
      <c r="L15" s="67"/>
      <c r="M15" s="99">
        <f>+'CompCo 3'!$C$37</f>
        <v>4.1565256676006443</v>
      </c>
      <c r="N15" s="67">
        <f>+'CompCo 3'!$D$37</f>
        <v>3.7111836317862883</v>
      </c>
      <c r="O15" s="100">
        <f>+'CompCo 3'!$E$37</f>
        <v>3.3787178002424332</v>
      </c>
      <c r="P15" s="67"/>
      <c r="Q15" s="67">
        <f>+'CompCo 3'!$C$39</f>
        <v>4.1565256676006443</v>
      </c>
      <c r="R15" s="67">
        <f>+'CompCo 3'!$D$39</f>
        <v>3.7111836317862883</v>
      </c>
      <c r="S15" s="67">
        <f>+'CompCo 3'!$E$39</f>
        <v>3.3787178002424332</v>
      </c>
      <c r="T15" s="67"/>
      <c r="U15" s="39">
        <f>+'CompCo 3'!$N$42</f>
        <v>0.70925873223404212</v>
      </c>
      <c r="V15" s="73">
        <f>+'CompCo 3'!$E$52</f>
        <v>0</v>
      </c>
      <c r="W15" s="67"/>
      <c r="X15" s="99">
        <f>+'CompCo 3'!$C$41</f>
        <v>4.9098347242366414</v>
      </c>
      <c r="Y15" s="67">
        <f>+'CompCo 3'!$D$41</f>
        <v>6.6326530612244898</v>
      </c>
      <c r="Z15" s="100">
        <f>+'CompCo 3'!$E$41</f>
        <v>6.0384678270434158</v>
      </c>
      <c r="AA15" s="2"/>
      <c r="AB15" s="39">
        <f>+'CompCo 3'!$E$66</f>
        <v>9.8399999999999987E-2</v>
      </c>
      <c r="AC15" s="39"/>
    </row>
    <row r="16" spans="1:29" ht="12.75" customHeight="1" x14ac:dyDescent="0.2">
      <c r="A16" s="2"/>
      <c r="B16" s="2" t="str">
        <f>'CompCo 4'!$E$7</f>
        <v>Ngân hàng Thương mại Cổ phần Kỹ thương Việt Nam</v>
      </c>
      <c r="C16" s="2" t="str">
        <f>+'CompCo 4'!$E$8</f>
        <v>TCB</v>
      </c>
      <c r="D16" s="159">
        <f>+'CompCo 4'!$E$17</f>
        <v>30950</v>
      </c>
      <c r="E16" s="98">
        <f>+'CompCo 4'!$E$18</f>
        <v>0.75240063206515129</v>
      </c>
      <c r="F16" s="41">
        <f>+'CompCo 4'!$E$24</f>
        <v>219319140.81329998</v>
      </c>
      <c r="G16" s="41">
        <f>+'CompCo 4'!$E$30</f>
        <v>219983382.81329998</v>
      </c>
      <c r="H16" s="2"/>
      <c r="I16" s="67">
        <f>+'CompCo 4'!$C$35</f>
        <v>4.1202237790138341</v>
      </c>
      <c r="J16" s="67">
        <f>+'CompCo 4'!$D$35</f>
        <v>3.6787712312623513</v>
      </c>
      <c r="K16" s="67">
        <f>+'CompCo 4'!$E$35</f>
        <v>3.3492090597799993</v>
      </c>
      <c r="L16" s="67"/>
      <c r="M16" s="99">
        <f>+'CompCo 4'!$C$37</f>
        <v>5.9521421582084706</v>
      </c>
      <c r="N16" s="67">
        <f>+'CompCo 4'!$D$37</f>
        <v>5.3144126412575625</v>
      </c>
      <c r="O16" s="100">
        <f>+'CompCo 4'!$E$37</f>
        <v>4.838321778275275</v>
      </c>
      <c r="P16" s="67"/>
      <c r="Q16" s="67">
        <f>+'CompCo 4'!$C$39</f>
        <v>5.9521421582084706</v>
      </c>
      <c r="R16" s="67">
        <f>+'CompCo 4'!$D$39</f>
        <v>5.3144126412575625</v>
      </c>
      <c r="S16" s="67">
        <f>+'CompCo 4'!$E$39</f>
        <v>4.838321778275275</v>
      </c>
      <c r="T16" s="67"/>
      <c r="U16" s="39">
        <f>+'CompCo 4'!$N$42</f>
        <v>0.69222536517070954</v>
      </c>
      <c r="V16" s="73">
        <f>+'CompCo 4'!$E$52</f>
        <v>0</v>
      </c>
      <c r="W16" s="67"/>
      <c r="X16" s="99">
        <f>+'CompCo 4'!$C$41</f>
        <v>7.3817849002763474</v>
      </c>
      <c r="Y16" s="67">
        <f>+'CompCo 4'!$D$41</f>
        <v>7.7362621980483128</v>
      </c>
      <c r="Z16" s="100">
        <f>+'CompCo 4'!$E$41</f>
        <v>7.0432103041226428</v>
      </c>
      <c r="AA16" s="2"/>
      <c r="AB16" s="39">
        <f>+'CompCo 4'!$E$66</f>
        <v>9.8399999999999987E-2</v>
      </c>
      <c r="AC16" s="39"/>
    </row>
    <row r="17" spans="1:29" ht="12.75" customHeight="1" x14ac:dyDescent="0.2">
      <c r="A17" s="2"/>
      <c r="B17" s="2" t="str">
        <f>'CompCo 5'!$E$7</f>
        <v>Ngân hàng Thương mại Cổ phần Á Châu</v>
      </c>
      <c r="C17" s="2" t="str">
        <f>+'CompCo 5'!$E$8</f>
        <v>ACB</v>
      </c>
      <c r="D17" s="159">
        <f>+'CompCo 5'!$E$17</f>
        <v>26500</v>
      </c>
      <c r="E17" s="98">
        <f>+'CompCo 5'!$E$18</f>
        <v>0.89830508474576276</v>
      </c>
      <c r="F17" s="41">
        <f>+'CompCo 5'!$E$24</f>
        <v>136121399.87349999</v>
      </c>
      <c r="G17" s="41">
        <f>+'CompCo 5'!$E$30</f>
        <v>136121399.87349999</v>
      </c>
      <c r="H17" s="2"/>
      <c r="I17" s="67">
        <f>+'CompCo 5'!$C$35</f>
        <v>4.0275126070322216</v>
      </c>
      <c r="J17" s="67">
        <f>+'CompCo 5'!$D$35</f>
        <v>3.8913165285335487</v>
      </c>
      <c r="K17" s="67">
        <f>+'CompCo 5'!$E$35</f>
        <v>3.7827515587960998</v>
      </c>
      <c r="L17" s="67"/>
      <c r="M17" s="99">
        <f>+'CompCo 5'!$C$37</f>
        <v>5.9510462783740712</v>
      </c>
      <c r="N17" s="67">
        <f>+'CompCo 5'!$D$37</f>
        <v>5.7498031675111827</v>
      </c>
      <c r="O17" s="100">
        <f>+'CompCo 5'!$E$37</f>
        <v>5.5893877393906699</v>
      </c>
      <c r="P17" s="67"/>
      <c r="Q17" s="67">
        <f>+'CompCo 5'!$C$39</f>
        <v>5.9510462783740712</v>
      </c>
      <c r="R17" s="67">
        <f>+'CompCo 5'!$D$39</f>
        <v>5.7498031675111827</v>
      </c>
      <c r="S17" s="67">
        <f>+'CompCo 5'!$E$39</f>
        <v>5.5893877393906699</v>
      </c>
      <c r="T17" s="67"/>
      <c r="U17" s="39">
        <f>+'CompCo 5'!$N$42</f>
        <v>0.67677386775970549</v>
      </c>
      <c r="V17" s="73">
        <f>+'CompCo 5'!$E$52</f>
        <v>0</v>
      </c>
      <c r="W17" s="67"/>
      <c r="X17" s="99">
        <f>+'CompCo 5'!$C$41</f>
        <v>7.1796081327424792</v>
      </c>
      <c r="Y17" s="67">
        <f>+'CompCo 5'!$D$41</f>
        <v>8.472489984877404</v>
      </c>
      <c r="Z17" s="100">
        <f>+'CompCo 5'!$E$41</f>
        <v>8.2361135266621996</v>
      </c>
      <c r="AA17" s="2"/>
      <c r="AB17" s="39">
        <f>+'CompCo 5'!$E$66</f>
        <v>2.87E-2</v>
      </c>
      <c r="AC17" s="39"/>
    </row>
    <row r="18" spans="1:29" ht="12.75" customHeight="1" x14ac:dyDescent="0.2">
      <c r="A18" s="2"/>
      <c r="B18" s="2"/>
      <c r="C18" s="2"/>
      <c r="D18" s="49"/>
      <c r="E18" s="2"/>
      <c r="F18" s="35"/>
      <c r="G18" s="35"/>
      <c r="H18" s="2"/>
      <c r="I18" s="30"/>
      <c r="J18" s="30"/>
      <c r="K18" s="30"/>
      <c r="L18" s="30"/>
      <c r="M18" s="101"/>
      <c r="N18" s="30"/>
      <c r="O18" s="102"/>
      <c r="P18" s="30"/>
      <c r="Q18" s="30"/>
      <c r="R18" s="30"/>
      <c r="S18" s="30"/>
      <c r="T18" s="30"/>
      <c r="U18" s="39"/>
      <c r="V18" s="2"/>
      <c r="W18" s="30"/>
      <c r="X18" s="101"/>
      <c r="Y18" s="30"/>
      <c r="Z18" s="102"/>
      <c r="AA18" s="2"/>
      <c r="AB18" s="39"/>
      <c r="AC18" s="39"/>
    </row>
    <row r="19" spans="1:29" ht="12.75" customHeight="1" x14ac:dyDescent="0.2">
      <c r="A19" s="2"/>
      <c r="B19" s="42" t="s">
        <v>43</v>
      </c>
      <c r="C19" s="43"/>
      <c r="D19" s="43"/>
      <c r="E19" s="43"/>
      <c r="F19" s="43"/>
      <c r="G19" s="43"/>
      <c r="H19" s="3"/>
      <c r="I19" s="44">
        <f>IF(ISERROR(AVERAGE(I13:I17)),"NA",AVERAGE(I13:I17))</f>
        <v>4.2390332589980479</v>
      </c>
      <c r="J19" s="44">
        <f>IF(ISERROR(AVERAGE(J13:J17)),"NA",AVERAGE(J13:J17))</f>
        <v>3.9494166689550783</v>
      </c>
      <c r="K19" s="44">
        <f>IF(ISERROR(AVERAGE(K13:K17)),"NA",AVERAGE(K13:K17))</f>
        <v>3.7281815242103051</v>
      </c>
      <c r="L19" s="44"/>
      <c r="M19" s="103">
        <f>IF(ISERROR(AVERAGE(M13:M17)),"NA",AVERAGE(M13:M17))</f>
        <v>6.2535894705238082</v>
      </c>
      <c r="N19" s="44">
        <f>IF(ISERROR(AVERAGE(N13:N17)),"NA",AVERAGE(N13:N17))</f>
        <v>5.8311544861231415</v>
      </c>
      <c r="O19" s="104">
        <f>IF(ISERROR(AVERAGE(O13:O17)),"NA",AVERAGE(O13:O17))</f>
        <v>5.5082454460503261</v>
      </c>
      <c r="P19" s="44"/>
      <c r="Q19" s="44">
        <f>IF(ISERROR(AVERAGE(Q13:Q17)),"NA",AVERAGE(Q13:Q17))</f>
        <v>6.2535894705238082</v>
      </c>
      <c r="R19" s="44">
        <f>IF(ISERROR(AVERAGE(R13:R17)),"NA",AVERAGE(R13:R17))</f>
        <v>5.8311544861231415</v>
      </c>
      <c r="S19" s="44">
        <f>IF(ISERROR(AVERAGE(S13:S17)),"NA",AVERAGE(S13:S17))</f>
        <v>5.5082454460503261</v>
      </c>
      <c r="T19" s="44"/>
      <c r="U19" s="45">
        <f>IF(ISERROR(AVERAGE(U13:U17)),"NA",AVERAGE(U13:U17))</f>
        <v>0.68513760087308528</v>
      </c>
      <c r="V19" s="44">
        <f>+AVERAGE(V13:V17)</f>
        <v>0</v>
      </c>
      <c r="W19" s="44"/>
      <c r="X19" s="103">
        <f>IF(ISERROR(AVERAGE(X13:X17)),"NA",AVERAGE(X13:X17))</f>
        <v>7.5841066752312045</v>
      </c>
      <c r="Y19" s="44">
        <f>IF(ISERROR(AVERAGE(Y13:Y17)),"NA",AVERAGE(Y13:Y17))</f>
        <v>9.0116572564424029</v>
      </c>
      <c r="Z19" s="104">
        <f>IF(ISERROR(AVERAGE(Z13:Z17)),"NA",AVERAGE(Z13:Z17))</f>
        <v>8.5025775829586685</v>
      </c>
      <c r="AA19" s="4"/>
      <c r="AB19" s="45">
        <f>+AVERAGE(AB13:AB17)</f>
        <v>6.6957125790159111E-2</v>
      </c>
      <c r="AC19" s="39"/>
    </row>
    <row r="20" spans="1:29" ht="12.75" customHeight="1" x14ac:dyDescent="0.2">
      <c r="A20" s="2"/>
      <c r="B20" s="255" t="s">
        <v>261</v>
      </c>
      <c r="C20" s="43"/>
      <c r="D20" s="43"/>
      <c r="E20" s="43"/>
      <c r="F20" s="43"/>
      <c r="G20" s="43"/>
      <c r="H20" s="3"/>
      <c r="I20" s="44">
        <f>IF(ISERROR(MEDIAN(I13:I17)),"NA",MEDIAN(I13:I17))</f>
        <v>4.0275126070322216</v>
      </c>
      <c r="J20" s="44">
        <f>IF(ISERROR(MEDIAN(J13:J17)),"NA",MEDIAN(J13:J17))</f>
        <v>3.6787712312623513</v>
      </c>
      <c r="K20" s="44">
        <f>IF(ISERROR(MEDIAN(K13:K17)),"NA",MEDIAN(K13:K17))</f>
        <v>3.3492090597799993</v>
      </c>
      <c r="L20" s="44"/>
      <c r="M20" s="103">
        <f>IF(ISERROR(MEDIAN(M13:M17)),"NA",MEDIAN(M13:M17))</f>
        <v>5.9510462783740712</v>
      </c>
      <c r="N20" s="44">
        <f>IF(ISERROR(MEDIAN(N13:N17)),"NA",MEDIAN(N13:N17))</f>
        <v>5.3144126412575625</v>
      </c>
      <c r="O20" s="104">
        <f>IF(ISERROR(MEDIAN(O13:O17)),"NA",MEDIAN(O13:O17))</f>
        <v>4.838321778275275</v>
      </c>
      <c r="P20" s="44"/>
      <c r="Q20" s="44">
        <f>IF(ISERROR(MEDIAN(Q13:Q17)),"NA",MEDIAN(Q13:Q17))</f>
        <v>5.9510462783740712</v>
      </c>
      <c r="R20" s="44">
        <f>IF(ISERROR(MEDIAN(R13:R17)),"NA",MEDIAN(R13:R17))</f>
        <v>5.3144126412575625</v>
      </c>
      <c r="S20" s="44">
        <f>IF(ISERROR(MEDIAN(S13:S17)),"NA",MEDIAN(S13:S17))</f>
        <v>4.838321778275275</v>
      </c>
      <c r="T20" s="44"/>
      <c r="U20" s="45">
        <f>IF(ISERROR(MEDIAN(U13:U17)),"NA",MEDIAN(U13:U17))</f>
        <v>0.69222536517070954</v>
      </c>
      <c r="V20" s="44">
        <f>MEDIAN(V13:V17)</f>
        <v>0</v>
      </c>
      <c r="W20" s="44"/>
      <c r="X20" s="252">
        <v>6.1</v>
      </c>
      <c r="Y20" s="253">
        <v>9.4</v>
      </c>
      <c r="Z20" s="254">
        <v>9.1</v>
      </c>
      <c r="AA20" s="4"/>
      <c r="AB20" s="45">
        <f>MEDIAN(AB13:AB17)</f>
        <v>7.1123058938307657E-2</v>
      </c>
      <c r="AC20" s="39"/>
    </row>
    <row r="21" spans="1:29" ht="12.75" customHeight="1" x14ac:dyDescent="0.2">
      <c r="A21" s="2"/>
      <c r="B21" s="46"/>
      <c r="C21" s="47"/>
      <c r="D21" s="47"/>
      <c r="E21" s="47"/>
      <c r="F21" s="47"/>
      <c r="G21" s="47"/>
      <c r="H21" s="28"/>
      <c r="I21" s="48"/>
      <c r="J21" s="48"/>
      <c r="K21" s="48"/>
      <c r="L21" s="48"/>
      <c r="M21" s="91"/>
      <c r="N21" s="48"/>
      <c r="O21" s="92"/>
      <c r="P21" s="48"/>
      <c r="Q21" s="48"/>
      <c r="R21" s="48"/>
      <c r="S21" s="48"/>
      <c r="T21" s="48"/>
      <c r="U21" s="33"/>
      <c r="V21" s="48"/>
      <c r="W21" s="48"/>
      <c r="X21" s="91"/>
      <c r="Y21" s="48"/>
      <c r="Z21" s="92"/>
      <c r="AA21" s="2"/>
      <c r="AB21" s="33"/>
      <c r="AC21" s="39"/>
    </row>
    <row r="22" spans="1:29" ht="15" customHeight="1" x14ac:dyDescent="0.2">
      <c r="A22" s="2"/>
      <c r="B22" s="265" t="s">
        <v>45</v>
      </c>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
    </row>
    <row r="23" spans="1:29" ht="12.75" customHeight="1" x14ac:dyDescent="0.2">
      <c r="A23" s="2"/>
      <c r="B23" s="2" t="str">
        <f>'CompCo 6'!$E$7</f>
        <v>Ngân hàng Thương mại Cổ phần Ngoại thương Việt Nam</v>
      </c>
      <c r="C23" s="2" t="str">
        <f>+'CompCo 6'!$E$8</f>
        <v>VCB</v>
      </c>
      <c r="D23" s="158">
        <f>+'CompCo 6'!$E$17</f>
        <v>61700</v>
      </c>
      <c r="E23" s="98">
        <f>+'CompCo 6'!$E$18</f>
        <v>0.78299492385786806</v>
      </c>
      <c r="F23" s="38">
        <f>+'CompCo 6'!$E$24</f>
        <v>515545153.29980004</v>
      </c>
      <c r="G23" s="38">
        <f>+'CompCo 6'!$E$30</f>
        <v>515565430.29980004</v>
      </c>
      <c r="H23" s="2"/>
      <c r="I23" s="67">
        <f>+'CompCo 6'!$C$35</f>
        <v>7.1157010563080441</v>
      </c>
      <c r="J23" s="67">
        <f>+'CompCo 6'!$D$35</f>
        <v>6.7992651626459155</v>
      </c>
      <c r="K23" s="67">
        <f>+'CompCo 6'!$E$35</f>
        <v>6.5493260487749314</v>
      </c>
      <c r="L23" s="67"/>
      <c r="M23" s="99">
        <f>+'CompCo 6'!$C$37</f>
        <v>10.920261018088627</v>
      </c>
      <c r="N23" s="67">
        <f>+'CompCo 6'!$D$37</f>
        <v>10.434635985932553</v>
      </c>
      <c r="O23" s="100">
        <f>+'CompCo 6'!$E$37</f>
        <v>10.05106164230814</v>
      </c>
      <c r="P23" s="67"/>
      <c r="Q23" s="67">
        <f>+'CompCo 6'!$C$39</f>
        <v>10.920261018088627</v>
      </c>
      <c r="R23" s="67">
        <f>+'CompCo 6'!$D$39</f>
        <v>10.434635985932553</v>
      </c>
      <c r="S23" s="67">
        <f>+'CompCo 6'!$E$39</f>
        <v>10.05106164230814</v>
      </c>
      <c r="T23" s="67"/>
      <c r="U23" s="39">
        <f>+'CompCo 6'!$N$42</f>
        <v>0.65160540068789541</v>
      </c>
      <c r="V23" s="73">
        <f>+'CompCo 6'!$E$52</f>
        <v>0</v>
      </c>
      <c r="W23" s="67"/>
      <c r="X23" s="99">
        <f>+'CompCo 6'!$C$41</f>
        <v>13.436204904006788</v>
      </c>
      <c r="Y23" s="67">
        <f>+'CompCo 6'!$D$41</f>
        <v>15.297404050466859</v>
      </c>
      <c r="Z23" s="100">
        <f>+'CompCo 6'!$E$41</f>
        <v>14.735075692704706</v>
      </c>
      <c r="AA23" s="2"/>
      <c r="AB23" s="39">
        <f>+'CompCo 6'!$E$66</f>
        <v>3.8162570012487927E-2</v>
      </c>
      <c r="AC23" s="39"/>
    </row>
    <row r="24" spans="1:29" ht="12.75" customHeight="1" x14ac:dyDescent="0.2">
      <c r="A24" s="2"/>
      <c r="B24" s="2" t="str">
        <f>'CompCo 7'!$E$7</f>
        <v>Ngân hàng Thương mại Cổ phần Công thương Việt Nam</v>
      </c>
      <c r="C24" s="2" t="str">
        <f>+'CompCo 7'!$E$8</f>
        <v>CTG</v>
      </c>
      <c r="D24" s="159">
        <f>+'CompCo 7'!$E$17</f>
        <v>33500</v>
      </c>
      <c r="E24" s="98">
        <f>+'CompCo 7'!$E$18</f>
        <v>0.77011494252873558</v>
      </c>
      <c r="F24" s="41">
        <f>+'CompCo 7'!$E$24</f>
        <v>260192645.33949998</v>
      </c>
      <c r="G24" s="41">
        <f>+'CompCo 7'!$E$30</f>
        <v>260459430.33949998</v>
      </c>
      <c r="H24" s="2"/>
      <c r="I24" s="67">
        <f>+'CompCo 7'!$C$35</f>
        <v>2.9836767271354536</v>
      </c>
      <c r="J24" s="67">
        <f>+'CompCo 7'!$D$35</f>
        <v>2.7455410245651053</v>
      </c>
      <c r="K24" s="67">
        <f>+'CompCo 7'!$E$35</f>
        <v>2.5632358501239549</v>
      </c>
      <c r="L24" s="67"/>
      <c r="M24" s="99">
        <f>+'CompCo 7'!$C$37</f>
        <v>4.2879722303472239</v>
      </c>
      <c r="N24" s="67">
        <f>+'CompCo 7'!$D$37</f>
        <v>3.9457370041281195</v>
      </c>
      <c r="O24" s="100">
        <f>+'CompCo 7'!$E$37</f>
        <v>3.6837382700351133</v>
      </c>
      <c r="P24" s="67"/>
      <c r="Q24" s="67">
        <f>+'CompCo 7'!$C$39</f>
        <v>4.2879722303472239</v>
      </c>
      <c r="R24" s="67">
        <f>+'CompCo 7'!$D$39</f>
        <v>3.9457370041281195</v>
      </c>
      <c r="S24" s="67">
        <f>+'CompCo 7'!$E$39</f>
        <v>3.6837382700351133</v>
      </c>
      <c r="T24" s="67"/>
      <c r="U24" s="39">
        <f>+'CompCo 7'!$N$42</f>
        <v>0.69582463851307319</v>
      </c>
      <c r="V24" s="73">
        <f>+'CompCo 7'!$E$52</f>
        <v>0</v>
      </c>
      <c r="W24" s="67"/>
      <c r="X24" s="99">
        <f>+'CompCo 7'!$C$41</f>
        <v>5.0131007148937634</v>
      </c>
      <c r="Y24" s="67">
        <f>+'CompCo 7'!$D$41</f>
        <v>6.9194769875949449</v>
      </c>
      <c r="Z24" s="100">
        <f>+'CompCo 7'!$E$41</f>
        <v>6.4600205642603745</v>
      </c>
      <c r="AA24" s="2"/>
      <c r="AB24" s="39">
        <f>+'CompCo 7'!$E$66</f>
        <v>7.1123058938307657E-2</v>
      </c>
      <c r="AC24" s="39"/>
    </row>
    <row r="25" spans="1:29" ht="12.75" customHeight="1" x14ac:dyDescent="0.2">
      <c r="A25" s="2"/>
      <c r="B25" s="2" t="str">
        <f>'CompCo 8'!$E$7</f>
        <v>Ngân hàng Thương mại Cổ phần Quân đội</v>
      </c>
      <c r="C25" s="2" t="str">
        <f>+'CompCo 8'!$E$8</f>
        <v>MBB</v>
      </c>
      <c r="D25" s="159">
        <f>+'CompCo 8'!$E$17</f>
        <v>24700</v>
      </c>
      <c r="E25" s="98">
        <f>+'CompCo 8'!$E$18</f>
        <v>0.83728813559322035</v>
      </c>
      <c r="F25" s="41">
        <f>+'CompCo 8'!$E$24</f>
        <v>198958497.75229999</v>
      </c>
      <c r="G25" s="41">
        <f>+'CompCo 8'!$E$30</f>
        <v>199562536.75229999</v>
      </c>
      <c r="H25" s="2"/>
      <c r="I25" s="67">
        <f>+'CompCo 8'!$C$35</f>
        <v>2.9480521255006886</v>
      </c>
      <c r="J25" s="67">
        <f>+'CompCo 8'!$D$35</f>
        <v>2.6321893977684714</v>
      </c>
      <c r="K25" s="67">
        <f>+'CompCo 8'!$E$35</f>
        <v>2.3963851035765398</v>
      </c>
      <c r="L25" s="67"/>
      <c r="M25" s="99">
        <f>+'CompCo 8'!$C$37</f>
        <v>4.1565256676006443</v>
      </c>
      <c r="N25" s="67">
        <f>+'CompCo 8'!$D$37</f>
        <v>3.7111836317862883</v>
      </c>
      <c r="O25" s="100">
        <f>+'CompCo 8'!$E$37</f>
        <v>3.3787178002424332</v>
      </c>
      <c r="P25" s="67"/>
      <c r="Q25" s="67">
        <f>+'CompCo 8'!$C$39</f>
        <v>4.1565256676006443</v>
      </c>
      <c r="R25" s="67">
        <f>+'CompCo 8'!$D$39</f>
        <v>3.7111836317862883</v>
      </c>
      <c r="S25" s="67">
        <f>+'CompCo 8'!$E$39</f>
        <v>3.3787178002424332</v>
      </c>
      <c r="T25" s="67"/>
      <c r="U25" s="39">
        <f>+'CompCo 8'!$N$42</f>
        <v>0.70925873223404212</v>
      </c>
      <c r="V25" s="73">
        <f>+'CompCo 8'!$E$52</f>
        <v>0</v>
      </c>
      <c r="W25" s="67"/>
      <c r="X25" s="99">
        <f>+'CompCo 8'!$C$41</f>
        <v>4.9098347242366414</v>
      </c>
      <c r="Y25" s="67">
        <f>+'CompCo 8'!$D$41</f>
        <v>6.6326530612244898</v>
      </c>
      <c r="Z25" s="100">
        <f>+'CompCo 8'!$E$41</f>
        <v>6.0384678270434158</v>
      </c>
      <c r="AA25" s="2"/>
      <c r="AB25" s="39">
        <f>+'CompCo 8'!$E$66</f>
        <v>9.8399999999999987E-2</v>
      </c>
      <c r="AC25" s="39"/>
    </row>
    <row r="26" spans="1:29" ht="12.75" customHeight="1" x14ac:dyDescent="0.2">
      <c r="A26" s="2"/>
      <c r="B26" s="2" t="str">
        <f>'CompCo 9'!$E$7</f>
        <v>Ngân hàng Thương mại Cổ phần Kỹ thương Việt Nam</v>
      </c>
      <c r="C26" s="2" t="str">
        <f>+'CompCo 9'!$E$8</f>
        <v>TCB</v>
      </c>
      <c r="D26" s="159">
        <f>+'CompCo 9'!$E$17</f>
        <v>30950</v>
      </c>
      <c r="E26" s="98">
        <f>+'CompCo 9'!$E$18</f>
        <v>0.75240063206515129</v>
      </c>
      <c r="F26" s="41">
        <f>+'CompCo 9'!$E$24</f>
        <v>219319140.81329998</v>
      </c>
      <c r="G26" s="41">
        <f>+'CompCo 9'!$E$30</f>
        <v>219983382.81329998</v>
      </c>
      <c r="H26" s="2"/>
      <c r="I26" s="67">
        <f>+'CompCo 9'!$C$35</f>
        <v>4.1202237790138341</v>
      </c>
      <c r="J26" s="67">
        <f>+'CompCo 9'!$D$35</f>
        <v>3.6787712312623513</v>
      </c>
      <c r="K26" s="67">
        <f>+'CompCo 9'!$E$35</f>
        <v>3.3492090597799993</v>
      </c>
      <c r="L26" s="67"/>
      <c r="M26" s="99">
        <f>+'CompCo 9'!$C$37</f>
        <v>5.9521421582084706</v>
      </c>
      <c r="N26" s="67">
        <f>+'CompCo 9'!$D$37</f>
        <v>5.3144126412575625</v>
      </c>
      <c r="O26" s="100">
        <f>+'CompCo 9'!$E$37</f>
        <v>4.838321778275275</v>
      </c>
      <c r="P26" s="67"/>
      <c r="Q26" s="67">
        <f>+'CompCo 9'!$C$39</f>
        <v>5.9521421582084706</v>
      </c>
      <c r="R26" s="67">
        <f>+'CompCo 9'!$D$39</f>
        <v>5.3144126412575625</v>
      </c>
      <c r="S26" s="67">
        <f>+'CompCo 9'!$E$39</f>
        <v>4.838321778275275</v>
      </c>
      <c r="T26" s="67"/>
      <c r="U26" s="39">
        <f>+'CompCo 9'!$N$42</f>
        <v>0.69222536517070954</v>
      </c>
      <c r="V26" s="73">
        <f>+'CompCo 9'!$E$52</f>
        <v>0</v>
      </c>
      <c r="W26" s="67"/>
      <c r="X26" s="99">
        <f>+'CompCo 9'!$C$41</f>
        <v>7.3817849002763474</v>
      </c>
      <c r="Y26" s="67">
        <f>+'CompCo 9'!$D$41</f>
        <v>7.7362621980483128</v>
      </c>
      <c r="Z26" s="100">
        <f>+'CompCo 9'!$E$41</f>
        <v>7.0432103041226428</v>
      </c>
      <c r="AA26" s="2"/>
      <c r="AB26" s="39">
        <f>+'CompCo 9'!$E$66</f>
        <v>9.8399999999999987E-2</v>
      </c>
      <c r="AC26" s="39"/>
    </row>
    <row r="27" spans="1:29" ht="12.75" customHeight="1" x14ac:dyDescent="0.2">
      <c r="A27" s="2"/>
      <c r="B27" s="2" t="str">
        <f>'CompCo 10'!$E$7</f>
        <v>Ngân hàng Thương mại Cổ phần Á Châu</v>
      </c>
      <c r="C27" s="2" t="str">
        <f>+'CompCo 10'!$E$8</f>
        <v>ACB</v>
      </c>
      <c r="D27" s="159">
        <f>+'CompCo 10'!$E$17</f>
        <v>26500</v>
      </c>
      <c r="E27" s="98">
        <f>+'CompCo 10'!$E$18</f>
        <v>0.89830508474576276</v>
      </c>
      <c r="F27" s="41">
        <f>+'CompCo 10'!$E$24</f>
        <v>136121399.87349999</v>
      </c>
      <c r="G27" s="41">
        <f>+'CompCo 10'!$E$30</f>
        <v>136121399.87349999</v>
      </c>
      <c r="H27" s="2"/>
      <c r="I27" s="67">
        <f>+'CompCo 10'!$C$35</f>
        <v>4.0275126070322216</v>
      </c>
      <c r="J27" s="67">
        <f>+'CompCo 10'!$D$35</f>
        <v>3.8913165285335487</v>
      </c>
      <c r="K27" s="67">
        <f>+'CompCo 10'!$E$35</f>
        <v>3.7827515587960998</v>
      </c>
      <c r="L27" s="67"/>
      <c r="M27" s="99">
        <f>+'CompCo 10'!$C$37</f>
        <v>5.9510462783740712</v>
      </c>
      <c r="N27" s="67">
        <f>+'CompCo 10'!$D$37</f>
        <v>5.7498031675111827</v>
      </c>
      <c r="O27" s="100">
        <f>+'CompCo 10'!$E$37</f>
        <v>5.5893877393906699</v>
      </c>
      <c r="P27" s="67"/>
      <c r="Q27" s="67">
        <f>+'CompCo 10'!$C$39</f>
        <v>5.9510462783740712</v>
      </c>
      <c r="R27" s="67">
        <f>+'CompCo 10'!$D$39</f>
        <v>5.7498031675111827</v>
      </c>
      <c r="S27" s="67">
        <f>+'CompCo 10'!$E$39</f>
        <v>5.5893877393906699</v>
      </c>
      <c r="T27" s="67"/>
      <c r="U27" s="39">
        <f>+'CompCo 10'!$N$42</f>
        <v>0.67677386775970549</v>
      </c>
      <c r="V27" s="73">
        <f>+'CompCo 10'!$E$52</f>
        <v>0</v>
      </c>
      <c r="W27" s="67"/>
      <c r="X27" s="99">
        <f>+'CompCo 10'!$C$41</f>
        <v>7.1796081327424792</v>
      </c>
      <c r="Y27" s="67">
        <f>+'CompCo 10'!$D$41</f>
        <v>8.472489984877404</v>
      </c>
      <c r="Z27" s="100">
        <f>+'CompCo 10'!$E$41</f>
        <v>8.2361135266621996</v>
      </c>
      <c r="AA27" s="2"/>
      <c r="AB27" s="39">
        <f>+'CompCo 10'!$E$66</f>
        <v>2.87E-2</v>
      </c>
      <c r="AC27" s="39"/>
    </row>
    <row r="28" spans="1:29" ht="12.75" customHeight="1" x14ac:dyDescent="0.2">
      <c r="A28" s="2"/>
      <c r="B28" s="2"/>
      <c r="C28" s="2"/>
      <c r="D28" s="49"/>
      <c r="E28" s="40"/>
      <c r="F28" s="35"/>
      <c r="G28" s="35"/>
      <c r="H28" s="2"/>
      <c r="I28" s="67"/>
      <c r="J28" s="67"/>
      <c r="K28" s="67"/>
      <c r="L28" s="67"/>
      <c r="M28" s="99"/>
      <c r="N28" s="67"/>
      <c r="O28" s="100"/>
      <c r="P28" s="67"/>
      <c r="Q28" s="67"/>
      <c r="R28" s="67"/>
      <c r="S28" s="67"/>
      <c r="T28" s="67"/>
      <c r="U28" s="39"/>
      <c r="V28" s="2"/>
      <c r="W28" s="67"/>
      <c r="X28" s="99"/>
      <c r="Y28" s="67"/>
      <c r="Z28" s="100"/>
      <c r="AA28" s="2"/>
      <c r="AB28" s="105"/>
      <c r="AC28" s="2"/>
    </row>
    <row r="29" spans="1:29" ht="12.75" customHeight="1" x14ac:dyDescent="0.2">
      <c r="A29" s="2"/>
      <c r="B29" s="42" t="s">
        <v>43</v>
      </c>
      <c r="C29" s="43"/>
      <c r="D29" s="43"/>
      <c r="E29" s="43"/>
      <c r="F29" s="43"/>
      <c r="G29" s="43"/>
      <c r="H29" s="3"/>
      <c r="I29" s="44">
        <f>IF(ISERROR(AVERAGE(I23:I27)),"NA",AVERAGE(I23:I27))</f>
        <v>4.2390332589980479</v>
      </c>
      <c r="J29" s="44">
        <f>IF(ISERROR(AVERAGE(J23:J27)),"NA",AVERAGE(J23:J27))</f>
        <v>3.9494166689550783</v>
      </c>
      <c r="K29" s="44">
        <f>IF(ISERROR(AVERAGE(K23:K27)),"NA",AVERAGE(K23:K27))</f>
        <v>3.7281815242103051</v>
      </c>
      <c r="L29" s="44"/>
      <c r="M29" s="103">
        <f>IF(ISERROR(AVERAGE(M23:M27)),"NA",AVERAGE(M23:M27))</f>
        <v>6.2535894705238082</v>
      </c>
      <c r="N29" s="44">
        <f>IF(ISERROR(AVERAGE(N23:N27)),"NA",AVERAGE(N23:N27))</f>
        <v>5.8311544861231415</v>
      </c>
      <c r="O29" s="104">
        <f>IF(ISERROR(AVERAGE(O23:O27)),"NA",AVERAGE(O23:O27))</f>
        <v>5.5082454460503261</v>
      </c>
      <c r="P29" s="44"/>
      <c r="Q29" s="44">
        <f>IF(ISERROR(AVERAGE(Q23:Q27)),"NA",AVERAGE(Q23:Q27))</f>
        <v>6.2535894705238082</v>
      </c>
      <c r="R29" s="44">
        <f>IF(ISERROR(AVERAGE(R23:R27)),"NA",AVERAGE(R23:R27))</f>
        <v>5.8311544861231415</v>
      </c>
      <c r="S29" s="44">
        <f>IF(ISERROR(AVERAGE(S23:S27)),"NA",AVERAGE(S23:S27))</f>
        <v>5.5082454460503261</v>
      </c>
      <c r="T29" s="44"/>
      <c r="U29" s="45">
        <f>IF(ISERROR(AVERAGE(U23:U27)),"NA",AVERAGE(U23:U27))</f>
        <v>0.68513760087308528</v>
      </c>
      <c r="V29" s="44">
        <f>+AVERAGE(V23:V27)</f>
        <v>0</v>
      </c>
      <c r="W29" s="44"/>
      <c r="X29" s="103">
        <f>IF(ISERROR(AVERAGE(X23:X27)),"NA",AVERAGE(X23:X27))</f>
        <v>7.5841066752312045</v>
      </c>
      <c r="Y29" s="44">
        <f>IF(ISERROR(AVERAGE(Y23:Y27)),"NA",AVERAGE(Y23:Y27))</f>
        <v>9.0116572564424029</v>
      </c>
      <c r="Z29" s="104">
        <f>IF(ISERROR(AVERAGE(Z23:Z27)),"NA",AVERAGE(Z23:Z27))</f>
        <v>8.5025775829586685</v>
      </c>
      <c r="AA29" s="4"/>
      <c r="AB29" s="45">
        <f>+AVERAGE(AB23:AB27)</f>
        <v>6.6957125790159111E-2</v>
      </c>
      <c r="AC29" s="2"/>
    </row>
    <row r="30" spans="1:29" ht="12.75" customHeight="1" x14ac:dyDescent="0.2">
      <c r="A30" s="2"/>
      <c r="B30" s="42" t="s">
        <v>44</v>
      </c>
      <c r="C30" s="43"/>
      <c r="D30" s="43"/>
      <c r="E30" s="43"/>
      <c r="F30" s="43"/>
      <c r="G30" s="43"/>
      <c r="H30" s="3"/>
      <c r="I30" s="44">
        <f>IF(ISERROR(MEDIAN(I23:I27)),"NA",MEDIAN(I23:I27))</f>
        <v>4.0275126070322216</v>
      </c>
      <c r="J30" s="44">
        <f>IF(ISERROR(MEDIAN(J23:J27)),"NA",MEDIAN(J23:J27))</f>
        <v>3.6787712312623513</v>
      </c>
      <c r="K30" s="44">
        <f>IF(ISERROR(MEDIAN(K23:K27)),"NA",MEDIAN(K23:K27))</f>
        <v>3.3492090597799993</v>
      </c>
      <c r="L30" s="44"/>
      <c r="M30" s="103">
        <f>IF(ISERROR(MEDIAN(M23:M27)),"NA",MEDIAN(M23:M27))</f>
        <v>5.9510462783740712</v>
      </c>
      <c r="N30" s="44">
        <f>IF(ISERROR(MEDIAN(N23:N27)),"NA",MEDIAN(N23:N27))</f>
        <v>5.3144126412575625</v>
      </c>
      <c r="O30" s="104">
        <f>IF(ISERROR(MEDIAN(O23:O27)),"NA",MEDIAN(O23:O27))</f>
        <v>4.838321778275275</v>
      </c>
      <c r="P30" s="44"/>
      <c r="Q30" s="44">
        <f>IF(ISERROR(MEDIAN(Q23:Q27)),"NA",MEDIAN(Q23:Q27))</f>
        <v>5.9510462783740712</v>
      </c>
      <c r="R30" s="44">
        <f>IF(ISERROR(MEDIAN(R23:R27)),"NA",MEDIAN(R23:R27))</f>
        <v>5.3144126412575625</v>
      </c>
      <c r="S30" s="44">
        <f>IF(ISERROR(MEDIAN(S23:S27)),"NA",MEDIAN(S23:S27))</f>
        <v>4.838321778275275</v>
      </c>
      <c r="T30" s="44"/>
      <c r="U30" s="45">
        <f>IF(ISERROR(MEDIAN(U23:U27)),"NA",MEDIAN(U23:U27))</f>
        <v>0.69222536517070954</v>
      </c>
      <c r="V30" s="44">
        <f>MEDIAN(V23:V27)</f>
        <v>0</v>
      </c>
      <c r="W30" s="44"/>
      <c r="X30" s="103">
        <f>IF(ISERROR(MEDIAN(X23:X27)),"NA",MEDIAN(X23:X27))</f>
        <v>7.1796081327424792</v>
      </c>
      <c r="Y30" s="44">
        <f>IF(ISERROR(MEDIAN(Y23:Y27)),"NA",MEDIAN(Y23:Y27))</f>
        <v>7.7362621980483128</v>
      </c>
      <c r="Z30" s="104">
        <f>IF(ISERROR(MEDIAN(Z23:Z27)),"NA",MEDIAN(Z23:Z27))</f>
        <v>7.0432103041226428</v>
      </c>
      <c r="AA30" s="4"/>
      <c r="AB30" s="45">
        <f>MEDIAN(AB23:AB27)</f>
        <v>7.1123058938307657E-2</v>
      </c>
      <c r="AC30" s="2"/>
    </row>
    <row r="31" spans="1:29" ht="12.75" customHeight="1" x14ac:dyDescent="0.2">
      <c r="A31" s="2"/>
      <c r="B31" s="46"/>
      <c r="C31" s="47"/>
      <c r="D31" s="47"/>
      <c r="E31" s="47"/>
      <c r="F31" s="47"/>
      <c r="G31" s="47"/>
      <c r="H31" s="28"/>
      <c r="I31" s="48"/>
      <c r="J31" s="48"/>
      <c r="K31" s="48"/>
      <c r="L31" s="48"/>
      <c r="M31" s="91"/>
      <c r="N31" s="48"/>
      <c r="O31" s="92"/>
      <c r="P31" s="48"/>
      <c r="Q31" s="48"/>
      <c r="R31" s="48"/>
      <c r="S31" s="48"/>
      <c r="T31" s="48"/>
      <c r="U31" s="33"/>
      <c r="V31" s="48"/>
      <c r="W31" s="48"/>
      <c r="X31" s="91"/>
      <c r="Y31" s="48"/>
      <c r="Z31" s="92"/>
      <c r="AA31" s="2"/>
      <c r="AB31" s="33"/>
      <c r="AC31" s="2"/>
    </row>
    <row r="32" spans="1:29" ht="15" customHeight="1" x14ac:dyDescent="0.2">
      <c r="A32" s="2"/>
      <c r="B32" s="265" t="s">
        <v>46</v>
      </c>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
    </row>
    <row r="33" spans="1:29" ht="12.75" customHeight="1" x14ac:dyDescent="0.2">
      <c r="A33" s="2"/>
      <c r="B33" s="2" t="str">
        <f>'CompCo 11'!$E$7</f>
        <v>Ngân hàng Thương mại Cổ phần Ngoại thương Việt Nam</v>
      </c>
      <c r="C33" s="2" t="str">
        <f>+'CompCo 11'!$E$8</f>
        <v>VCB</v>
      </c>
      <c r="D33" s="158">
        <f>+'CompCo 11'!$E$17</f>
        <v>61700</v>
      </c>
      <c r="E33" s="98">
        <f>+'CompCo 11'!$E$18</f>
        <v>0.78299492385786806</v>
      </c>
      <c r="F33" s="38">
        <f>+'CompCo 11'!$E$24</f>
        <v>515545153.29980004</v>
      </c>
      <c r="G33" s="38">
        <f>+'CompCo 11'!$E$30</f>
        <v>515565430.29980004</v>
      </c>
      <c r="H33" s="2"/>
      <c r="I33" s="67">
        <f>+'CompCo 11'!$C$35</f>
        <v>7.1157010563080441</v>
      </c>
      <c r="J33" s="67">
        <f>+'CompCo 11'!$D$35</f>
        <v>6.7992651626459155</v>
      </c>
      <c r="K33" s="67">
        <f>+'CompCo 11'!$E$35</f>
        <v>6.5493260487749314</v>
      </c>
      <c r="L33" s="67"/>
      <c r="M33" s="99">
        <f>+'CompCo 11'!$C$37</f>
        <v>10.920261018088627</v>
      </c>
      <c r="N33" s="67">
        <f>+'CompCo 11'!$D$37</f>
        <v>10.434635985932553</v>
      </c>
      <c r="O33" s="100">
        <f>+'CompCo 11'!$E$37</f>
        <v>10.05106164230814</v>
      </c>
      <c r="P33" s="67"/>
      <c r="Q33" s="67">
        <f>+'CompCo 11'!$C$39</f>
        <v>10.920261018088627</v>
      </c>
      <c r="R33" s="67">
        <f>+'CompCo 11'!$D$39</f>
        <v>10.434635985932553</v>
      </c>
      <c r="S33" s="67">
        <f>+'CompCo 11'!$E$39</f>
        <v>10.05106164230814</v>
      </c>
      <c r="T33" s="67"/>
      <c r="U33" s="39">
        <f>+'CompCo 11'!$N$42</f>
        <v>0.65160540068789541</v>
      </c>
      <c r="V33" s="73">
        <f>+'CompCo 11'!$E$52</f>
        <v>0</v>
      </c>
      <c r="W33" s="67"/>
      <c r="X33" s="99">
        <f>+'CompCo 11'!$C$41</f>
        <v>13.436204904006788</v>
      </c>
      <c r="Y33" s="67">
        <f>+'CompCo 11'!$D$41</f>
        <v>15.297404050466859</v>
      </c>
      <c r="Z33" s="100">
        <f>+'CompCo 11'!$E$41</f>
        <v>14.735075692704706</v>
      </c>
      <c r="AA33" s="2"/>
      <c r="AB33" s="39">
        <f>+'CompCo 11'!$E$66</f>
        <v>3.8162570012487927E-2</v>
      </c>
      <c r="AC33" s="2"/>
    </row>
    <row r="34" spans="1:29" ht="12.75" customHeight="1" x14ac:dyDescent="0.2">
      <c r="A34" s="2"/>
      <c r="B34" s="2" t="str">
        <f>'CompCo 12'!$E$7</f>
        <v>Ngân hàng Thương mại Cổ phần Công thương Việt Nam</v>
      </c>
      <c r="C34" s="2" t="str">
        <f>+'CompCo 12'!$E$8</f>
        <v>CTG</v>
      </c>
      <c r="D34" s="159">
        <f>+'CompCo 12'!$E$17</f>
        <v>33500</v>
      </c>
      <c r="E34" s="98">
        <f>+'CompCo 12'!$E$18</f>
        <v>0.77011494252873558</v>
      </c>
      <c r="F34" s="41">
        <f>+'CompCo 12'!$E$24</f>
        <v>260192645.33949998</v>
      </c>
      <c r="G34" s="41">
        <f>+'CompCo 12'!$E$30</f>
        <v>260459430.33949998</v>
      </c>
      <c r="H34" s="2"/>
      <c r="I34" s="67">
        <f>+'CompCo 12'!$C$35</f>
        <v>2.9836767271354536</v>
      </c>
      <c r="J34" s="67">
        <f>+'CompCo 12'!$D$35</f>
        <v>2.7455410245651053</v>
      </c>
      <c r="K34" s="67">
        <f>+'CompCo 12'!$E$35</f>
        <v>2.5632358501239549</v>
      </c>
      <c r="L34" s="67"/>
      <c r="M34" s="99">
        <f>+'CompCo 12'!$C$37</f>
        <v>4.2879722303472239</v>
      </c>
      <c r="N34" s="67">
        <f>+'CompCo 12'!$D$37</f>
        <v>3.9457370041281195</v>
      </c>
      <c r="O34" s="100">
        <f>+'CompCo 12'!$E$37</f>
        <v>3.6837382700351133</v>
      </c>
      <c r="P34" s="67"/>
      <c r="Q34" s="67">
        <f>+'CompCo 12'!$C$39</f>
        <v>4.2879722303472239</v>
      </c>
      <c r="R34" s="67">
        <f>+'CompCo 12'!$D$39</f>
        <v>3.9457370041281195</v>
      </c>
      <c r="S34" s="67">
        <f>+'CompCo 12'!$E$39</f>
        <v>3.6837382700351133</v>
      </c>
      <c r="T34" s="67"/>
      <c r="U34" s="39">
        <f>+'CompCo 12'!$N$42</f>
        <v>0.69582463851307319</v>
      </c>
      <c r="V34" s="73">
        <f>+'CompCo 12'!$E$52</f>
        <v>0</v>
      </c>
      <c r="W34" s="67"/>
      <c r="X34" s="99">
        <f>+'CompCo 12'!$C$41</f>
        <v>5.0131007148937634</v>
      </c>
      <c r="Y34" s="67">
        <f>+'CompCo 12'!$D$41</f>
        <v>6.9194769875949449</v>
      </c>
      <c r="Z34" s="100">
        <f>+'CompCo 12'!$E$41</f>
        <v>6.4600205642603745</v>
      </c>
      <c r="AA34" s="2"/>
      <c r="AB34" s="39">
        <f>+'CompCo 12'!$E$66</f>
        <v>7.1123058938307657E-2</v>
      </c>
      <c r="AC34" s="2"/>
    </row>
    <row r="35" spans="1:29" ht="12.75" customHeight="1" x14ac:dyDescent="0.2">
      <c r="A35" s="2"/>
      <c r="B35" s="2" t="str">
        <f>'CompCo 13'!$E$7</f>
        <v>Ngân hàng Thương mại Cổ phần Quân đội</v>
      </c>
      <c r="C35" s="2" t="str">
        <f>+'CompCo 13'!$E$8</f>
        <v>MBB</v>
      </c>
      <c r="D35" s="159">
        <f>+'CompCo 13'!$E$17</f>
        <v>24700</v>
      </c>
      <c r="E35" s="98">
        <f>+'CompCo 13'!$E$18</f>
        <v>0.83728813559322035</v>
      </c>
      <c r="F35" s="41">
        <f>+'CompCo 13'!$E$24</f>
        <v>198958497.75229999</v>
      </c>
      <c r="G35" s="41">
        <f>+'CompCo 13'!$E$30</f>
        <v>199562536.75229999</v>
      </c>
      <c r="H35" s="2"/>
      <c r="I35" s="67">
        <f>+'CompCo 13'!$C$35</f>
        <v>2.9480521255006886</v>
      </c>
      <c r="J35" s="67">
        <f>+'CompCo 13'!$D$35</f>
        <v>2.6321893977684714</v>
      </c>
      <c r="K35" s="67">
        <f>+'CompCo 13'!$E$35</f>
        <v>2.3963851035765398</v>
      </c>
      <c r="L35" s="67"/>
      <c r="M35" s="99">
        <f>+'CompCo 13'!$C$37</f>
        <v>4.1565256676006443</v>
      </c>
      <c r="N35" s="67">
        <f>+'CompCo 13'!$D$37</f>
        <v>3.7111836317862883</v>
      </c>
      <c r="O35" s="100">
        <f>+'CompCo 13'!$E$37</f>
        <v>3.3787178002424332</v>
      </c>
      <c r="P35" s="67"/>
      <c r="Q35" s="67">
        <f>+'CompCo 13'!$C$39</f>
        <v>4.1565256676006443</v>
      </c>
      <c r="R35" s="67">
        <f>+'CompCo 13'!$D$39</f>
        <v>3.7111836317862883</v>
      </c>
      <c r="S35" s="67">
        <f>+'CompCo 13'!$E$39</f>
        <v>3.3787178002424332</v>
      </c>
      <c r="T35" s="67"/>
      <c r="U35" s="39">
        <f>+'CompCo 13'!$N$42</f>
        <v>0.70925873223404212</v>
      </c>
      <c r="V35" s="73">
        <f>+'CompCo 13'!$E$52</f>
        <v>0</v>
      </c>
      <c r="W35" s="67"/>
      <c r="X35" s="99">
        <f>+'CompCo 13'!$C$41</f>
        <v>4.9098347242366414</v>
      </c>
      <c r="Y35" s="67">
        <f>+'CompCo 13'!$D$41</f>
        <v>6.6326530612244898</v>
      </c>
      <c r="Z35" s="100">
        <f>+'CompCo 13'!$E$41</f>
        <v>6.0384678270434158</v>
      </c>
      <c r="AA35" s="2"/>
      <c r="AB35" s="39">
        <f>+'CompCo 13'!$E$66</f>
        <v>9.8399999999999987E-2</v>
      </c>
      <c r="AC35" s="2"/>
    </row>
    <row r="36" spans="1:29" ht="12.75" customHeight="1" x14ac:dyDescent="0.2">
      <c r="A36" s="2"/>
      <c r="B36" s="2" t="str">
        <f>'CompCo 14'!$E$7</f>
        <v>Ngân hàng Thương mại Cổ phần Kỹ thương Việt Nam</v>
      </c>
      <c r="C36" s="2" t="str">
        <f>+'CompCo 14'!$E$8</f>
        <v>TCB</v>
      </c>
      <c r="D36" s="159">
        <f>+'CompCo 14'!$E$17</f>
        <v>30950</v>
      </c>
      <c r="E36" s="98">
        <f>+'CompCo 14'!$E$18</f>
        <v>0.75240063206515129</v>
      </c>
      <c r="F36" s="41">
        <f>+'CompCo 14'!$E$24</f>
        <v>219319140.81329998</v>
      </c>
      <c r="G36" s="41">
        <f>+'CompCo 14'!$E$30</f>
        <v>219983382.81329998</v>
      </c>
      <c r="H36" s="2"/>
      <c r="I36" s="67">
        <f>+'CompCo 14'!$C$35</f>
        <v>4.1202237790138341</v>
      </c>
      <c r="J36" s="67">
        <f>+'CompCo 14'!$D$35</f>
        <v>3.6787712312623513</v>
      </c>
      <c r="K36" s="67">
        <f>+'CompCo 14'!$E$35</f>
        <v>3.3492090597799993</v>
      </c>
      <c r="L36" s="67"/>
      <c r="M36" s="99">
        <f>+'CompCo 14'!$C$37</f>
        <v>5.9521421582084706</v>
      </c>
      <c r="N36" s="67">
        <f>+'CompCo 14'!$D$37</f>
        <v>5.3144126412575625</v>
      </c>
      <c r="O36" s="100">
        <f>+'CompCo 14'!$E$37</f>
        <v>4.838321778275275</v>
      </c>
      <c r="P36" s="67"/>
      <c r="Q36" s="67">
        <f>+'CompCo 14'!$C$39</f>
        <v>5.9521421582084706</v>
      </c>
      <c r="R36" s="67">
        <f>+'CompCo 14'!$D$39</f>
        <v>5.3144126412575625</v>
      </c>
      <c r="S36" s="67">
        <f>+'CompCo 14'!$E$39</f>
        <v>4.838321778275275</v>
      </c>
      <c r="T36" s="67"/>
      <c r="U36" s="39">
        <f>+'CompCo 14'!$N$42</f>
        <v>0.69222536517070954</v>
      </c>
      <c r="V36" s="73">
        <f>+'CompCo 14'!$E$52</f>
        <v>0</v>
      </c>
      <c r="W36" s="67"/>
      <c r="X36" s="99">
        <f>+'CompCo 14'!$C$41</f>
        <v>7.3817849002763474</v>
      </c>
      <c r="Y36" s="67">
        <f>+'CompCo 14'!$D$41</f>
        <v>7.7362621980483128</v>
      </c>
      <c r="Z36" s="100">
        <f>+'CompCo 14'!$E$41</f>
        <v>7.0432103041226428</v>
      </c>
      <c r="AA36" s="2"/>
      <c r="AB36" s="39">
        <f>+'CompCo 14'!$E$66</f>
        <v>9.8399999999999987E-2</v>
      </c>
      <c r="AC36" s="2"/>
    </row>
    <row r="37" spans="1:29" ht="12.75" customHeight="1" x14ac:dyDescent="0.2">
      <c r="A37" s="2" t="s">
        <v>47</v>
      </c>
      <c r="B37" s="2" t="str">
        <f>'CompCo 15'!$E$7</f>
        <v>Ngân hàng Thương mại Cổ phần Á Châu</v>
      </c>
      <c r="C37" s="2" t="str">
        <f>+'CompCo 15'!$E$8</f>
        <v>ACB</v>
      </c>
      <c r="D37" s="159">
        <f>+'CompCo 15'!$E$17</f>
        <v>26500</v>
      </c>
      <c r="E37" s="98">
        <f>+'CompCo 15'!$E$18</f>
        <v>0.89830508474576276</v>
      </c>
      <c r="F37" s="41">
        <f>+'CompCo 15'!$E$24</f>
        <v>136121399.87349999</v>
      </c>
      <c r="G37" s="41">
        <f>+'CompCo 15'!$E$30</f>
        <v>136121399.87349999</v>
      </c>
      <c r="H37" s="2"/>
      <c r="I37" s="67">
        <f>+'CompCo 15'!$C$35</f>
        <v>4.0275126070322216</v>
      </c>
      <c r="J37" s="67">
        <f>+'CompCo 15'!$D$35</f>
        <v>3.8913165285335487</v>
      </c>
      <c r="K37" s="67">
        <f>+'CompCo 15'!$E$35</f>
        <v>3.7827515587960998</v>
      </c>
      <c r="L37" s="67"/>
      <c r="M37" s="99">
        <f>+'CompCo 15'!$C$37</f>
        <v>5.9510462783740712</v>
      </c>
      <c r="N37" s="67">
        <f>+'CompCo 15'!$D$37</f>
        <v>5.7498031675111827</v>
      </c>
      <c r="O37" s="100">
        <f>+'CompCo 15'!$E$37</f>
        <v>5.5893877393906699</v>
      </c>
      <c r="P37" s="67"/>
      <c r="Q37" s="67">
        <f>+'CompCo 15'!$C$39</f>
        <v>5.9510462783740712</v>
      </c>
      <c r="R37" s="67">
        <f>+'CompCo 15'!$D$39</f>
        <v>5.7498031675111827</v>
      </c>
      <c r="S37" s="67">
        <f>+'CompCo 15'!$E$39</f>
        <v>5.5893877393906699</v>
      </c>
      <c r="T37" s="67"/>
      <c r="U37" s="39">
        <f>+'CompCo 15'!$N$42</f>
        <v>0.67677386775970549</v>
      </c>
      <c r="V37" s="73">
        <f>+'CompCo 15'!$E$52</f>
        <v>0</v>
      </c>
      <c r="W37" s="67"/>
      <c r="X37" s="99">
        <f>+'CompCo 15'!$C$41</f>
        <v>7.1796081327424792</v>
      </c>
      <c r="Y37" s="67">
        <f>+'CompCo 15'!$D$41</f>
        <v>8.472489984877404</v>
      </c>
      <c r="Z37" s="100">
        <f>+'CompCo 15'!$E$41</f>
        <v>8.2361135266621996</v>
      </c>
      <c r="AA37" s="2"/>
      <c r="AB37" s="39">
        <f>+'CompCo 15'!$E$66</f>
        <v>2.87E-2</v>
      </c>
      <c r="AC37" s="2"/>
    </row>
    <row r="38" spans="1:29" ht="12.75" customHeight="1" x14ac:dyDescent="0.2">
      <c r="A38" s="2"/>
      <c r="B38" s="2"/>
      <c r="C38" s="2"/>
      <c r="D38" s="49"/>
      <c r="E38" s="106"/>
      <c r="F38" s="35"/>
      <c r="G38" s="35"/>
      <c r="H38" s="2"/>
      <c r="I38" s="67"/>
      <c r="J38" s="67"/>
      <c r="K38" s="67"/>
      <c r="L38" s="67"/>
      <c r="M38" s="99"/>
      <c r="N38" s="67"/>
      <c r="O38" s="100"/>
      <c r="P38" s="67"/>
      <c r="Q38" s="67"/>
      <c r="R38" s="67"/>
      <c r="S38" s="67"/>
      <c r="T38" s="67"/>
      <c r="U38" s="39"/>
      <c r="V38" s="2"/>
      <c r="W38" s="67"/>
      <c r="X38" s="99"/>
      <c r="Y38" s="67"/>
      <c r="Z38" s="100"/>
      <c r="AA38" s="2"/>
      <c r="AB38" s="105"/>
      <c r="AC38" s="2"/>
    </row>
    <row r="39" spans="1:29" ht="12.75" customHeight="1" x14ac:dyDescent="0.2">
      <c r="A39" s="2"/>
      <c r="B39" s="42" t="s">
        <v>43</v>
      </c>
      <c r="C39" s="43"/>
      <c r="D39" s="43"/>
      <c r="E39" s="43"/>
      <c r="F39" s="43"/>
      <c r="G39" s="43"/>
      <c r="H39" s="3"/>
      <c r="I39" s="44">
        <f>IF(ISERROR(AVERAGE(I33:I37)),"NA",AVERAGE(I33:I37))</f>
        <v>4.2390332589980479</v>
      </c>
      <c r="J39" s="44">
        <f>IF(ISERROR(AVERAGE(J33:J37)),"NA",AVERAGE(J33:J37))</f>
        <v>3.9494166689550783</v>
      </c>
      <c r="K39" s="44">
        <f>IF(ISERROR(AVERAGE(K33:K37)),"NA",AVERAGE(K33:K37))</f>
        <v>3.7281815242103051</v>
      </c>
      <c r="L39" s="44"/>
      <c r="M39" s="103">
        <f>IF(ISERROR(AVERAGE(M33:M37)),"NA",AVERAGE(M33:M37))</f>
        <v>6.2535894705238082</v>
      </c>
      <c r="N39" s="44">
        <f>IF(ISERROR(AVERAGE(N33:N37)),"NA",AVERAGE(N33:N37))</f>
        <v>5.8311544861231415</v>
      </c>
      <c r="O39" s="104">
        <f>IF(ISERROR(AVERAGE(O33:O37)),"NA",AVERAGE(O33:O37))</f>
        <v>5.5082454460503261</v>
      </c>
      <c r="P39" s="44"/>
      <c r="Q39" s="44">
        <f>IF(ISERROR(AVERAGE(Q33:Q37)),"NA",AVERAGE(Q33:Q37))</f>
        <v>6.2535894705238082</v>
      </c>
      <c r="R39" s="44">
        <f>IF(ISERROR(AVERAGE(R33:R37)),"NA",AVERAGE(R33:R37))</f>
        <v>5.8311544861231415</v>
      </c>
      <c r="S39" s="44">
        <f>IF(ISERROR(AVERAGE(S33:S37)),"NA",AVERAGE(S33:S37))</f>
        <v>5.5082454460503261</v>
      </c>
      <c r="T39" s="44"/>
      <c r="U39" s="45">
        <f>IF(ISERROR(AVERAGE(U33:U37)),"NA",AVERAGE(U33:U37))</f>
        <v>0.68513760087308528</v>
      </c>
      <c r="V39" s="44">
        <f>+AVERAGE(V33:V37)</f>
        <v>0</v>
      </c>
      <c r="W39" s="44"/>
      <c r="X39" s="103">
        <f>IF(ISERROR(AVERAGE(X33:X37)),"NA",AVERAGE(X33:X37))</f>
        <v>7.5841066752312045</v>
      </c>
      <c r="Y39" s="44">
        <f>IF(ISERROR(AVERAGE(Y33:Y37)),"NA",AVERAGE(Y33:Y37))</f>
        <v>9.0116572564424029</v>
      </c>
      <c r="Z39" s="104">
        <f>IF(ISERROR(AVERAGE(Z33:Z37)),"NA",AVERAGE(Z33:Z37))</f>
        <v>8.5025775829586685</v>
      </c>
      <c r="AA39" s="4"/>
      <c r="AB39" s="45">
        <f>+AVERAGE(AB33:AB37)</f>
        <v>6.6957125790159111E-2</v>
      </c>
      <c r="AC39" s="2"/>
    </row>
    <row r="40" spans="1:29" ht="12.75" customHeight="1" x14ac:dyDescent="0.2">
      <c r="A40" s="2"/>
      <c r="B40" s="42" t="s">
        <v>44</v>
      </c>
      <c r="C40" s="43"/>
      <c r="D40" s="43"/>
      <c r="E40" s="43"/>
      <c r="F40" s="43"/>
      <c r="G40" s="43"/>
      <c r="H40" s="3"/>
      <c r="I40" s="44">
        <f>IF(ISERROR(MEDIAN(I33:I37)),"NA",MEDIAN(I33:I37))</f>
        <v>4.0275126070322216</v>
      </c>
      <c r="J40" s="44">
        <f>IF(ISERROR(MEDIAN(J33:J37)),"NA",MEDIAN(J33:J37))</f>
        <v>3.6787712312623513</v>
      </c>
      <c r="K40" s="44">
        <f>IF(ISERROR(MEDIAN(K33:K37)),"NA",MEDIAN(K33:K37))</f>
        <v>3.3492090597799993</v>
      </c>
      <c r="L40" s="44"/>
      <c r="M40" s="103">
        <f>IF(ISERROR(MEDIAN(M33:M37)),"NA",MEDIAN(M33:M37))</f>
        <v>5.9510462783740712</v>
      </c>
      <c r="N40" s="44">
        <f>IF(ISERROR(MEDIAN(N33:N37)),"NA",MEDIAN(N33:N37))</f>
        <v>5.3144126412575625</v>
      </c>
      <c r="O40" s="104">
        <f>IF(ISERROR(MEDIAN(O33:O37)),"NA",MEDIAN(O33:O37))</f>
        <v>4.838321778275275</v>
      </c>
      <c r="P40" s="44"/>
      <c r="Q40" s="44">
        <f>IF(ISERROR(MEDIAN(Q33:Q37)),"NA",MEDIAN(Q33:Q37))</f>
        <v>5.9510462783740712</v>
      </c>
      <c r="R40" s="44">
        <f>IF(ISERROR(MEDIAN(R33:R37)),"NA",MEDIAN(R33:R37))</f>
        <v>5.3144126412575625</v>
      </c>
      <c r="S40" s="44">
        <f>IF(ISERROR(MEDIAN(S33:S37)),"NA",MEDIAN(S33:S37))</f>
        <v>4.838321778275275</v>
      </c>
      <c r="T40" s="44"/>
      <c r="U40" s="45">
        <f>IF(ISERROR(MEDIAN(U33:U37)),"NA",MEDIAN(U33:U37))</f>
        <v>0.69222536517070954</v>
      </c>
      <c r="V40" s="44">
        <f>MEDIAN(V33:V37)</f>
        <v>0</v>
      </c>
      <c r="W40" s="44"/>
      <c r="X40" s="103">
        <f>IF(ISERROR(MEDIAN(X33:X37)),"NA",MEDIAN(X33:X37))</f>
        <v>7.1796081327424792</v>
      </c>
      <c r="Y40" s="44">
        <f>IF(ISERROR(MEDIAN(Y33:Y37)),"NA",MEDIAN(Y33:Y37))</f>
        <v>7.7362621980483128</v>
      </c>
      <c r="Z40" s="104">
        <f>IF(ISERROR(MEDIAN(Z33:Z37)),"NA",MEDIAN(Z33:Z37))</f>
        <v>7.0432103041226428</v>
      </c>
      <c r="AA40" s="4"/>
      <c r="AB40" s="45">
        <f>MEDIAN(AB33:AB37)</f>
        <v>7.1123058938307657E-2</v>
      </c>
      <c r="AC40" s="2"/>
    </row>
    <row r="41" spans="1:29" ht="12.75" customHeight="1" x14ac:dyDescent="0.2">
      <c r="A41" s="2"/>
      <c r="B41" s="46"/>
      <c r="C41" s="47"/>
      <c r="D41" s="47"/>
      <c r="E41" s="47"/>
      <c r="F41" s="47"/>
      <c r="G41" s="47"/>
      <c r="H41" s="28"/>
      <c r="I41" s="48"/>
      <c r="J41" s="48"/>
      <c r="K41" s="48"/>
      <c r="L41" s="48"/>
      <c r="M41" s="91"/>
      <c r="N41" s="48"/>
      <c r="O41" s="92"/>
      <c r="P41" s="48"/>
      <c r="Q41" s="48"/>
      <c r="R41" s="48"/>
      <c r="S41" s="48"/>
      <c r="T41" s="48"/>
      <c r="U41" s="33"/>
      <c r="V41" s="48"/>
      <c r="W41" s="48"/>
      <c r="X41" s="91"/>
      <c r="Y41" s="48"/>
      <c r="Z41" s="92"/>
      <c r="AA41" s="2"/>
      <c r="AB41" s="33"/>
      <c r="AC41" s="2"/>
    </row>
    <row r="42" spans="1:29" ht="15" customHeight="1" x14ac:dyDescent="0.2">
      <c r="A42" s="2"/>
      <c r="B42" s="265" t="s">
        <v>48</v>
      </c>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
    </row>
    <row r="43" spans="1:29" ht="12.75" customHeight="1" x14ac:dyDescent="0.2">
      <c r="A43" s="2"/>
      <c r="B43" s="2"/>
      <c r="C43" s="2"/>
      <c r="D43" s="49"/>
      <c r="E43" s="2"/>
      <c r="F43" s="35"/>
      <c r="G43" s="35"/>
      <c r="H43" s="2"/>
      <c r="I43" s="30"/>
      <c r="J43" s="30"/>
      <c r="K43" s="30"/>
      <c r="L43" s="30"/>
      <c r="M43" s="101"/>
      <c r="N43" s="30"/>
      <c r="O43" s="102"/>
      <c r="P43" s="30"/>
      <c r="Q43" s="30"/>
      <c r="R43" s="30"/>
      <c r="S43" s="30"/>
      <c r="T43" s="30"/>
      <c r="U43" s="39"/>
      <c r="V43" s="37"/>
      <c r="W43" s="30"/>
      <c r="X43" s="101"/>
      <c r="Y43" s="30"/>
      <c r="Z43" s="102"/>
      <c r="AA43" s="2"/>
      <c r="AB43" s="39"/>
      <c r="AC43" s="2"/>
    </row>
    <row r="44" spans="1:29" ht="12.75" customHeight="1" x14ac:dyDescent="0.2">
      <c r="A44" s="2"/>
      <c r="B44" s="42" t="s">
        <v>43</v>
      </c>
      <c r="C44" s="43"/>
      <c r="D44" s="43"/>
      <c r="E44" s="43"/>
      <c r="F44" s="43"/>
      <c r="G44" s="43"/>
      <c r="H44" s="3"/>
      <c r="I44" s="44">
        <f>IF(ISERROR(AVERAGE(I23:I27,I13:I17,I33:I37)),"NA",AVERAGE(I23:I27,I13:I17,I33:I37))</f>
        <v>4.2390332589980479</v>
      </c>
      <c r="J44" s="44">
        <f>IF(ISERROR(AVERAGE(J23:J27,J13:J17,J33:J37)),"NA",AVERAGE(J23:J27,J13:J17,J33:J37))</f>
        <v>3.9494166689550791</v>
      </c>
      <c r="K44" s="44">
        <f>IF(ISERROR(AVERAGE(K23:K27,K13:K17,K33:K37)),"NA",AVERAGE(K23:K27,K13:K17,K33:K37))</f>
        <v>3.7281815242103051</v>
      </c>
      <c r="L44" s="44"/>
      <c r="M44" s="103">
        <f>IF(ISERROR(AVERAGE(M23:M27,M13:M17,M33:M37)),"NA",AVERAGE(M23:M27,M13:M17,M33:M37))</f>
        <v>6.2535894705238082</v>
      </c>
      <c r="N44" s="44">
        <f>IF(ISERROR(AVERAGE(N23:N27,N13:N17,N33:N37)),"NA",AVERAGE(N23:N27,N13:N17,N33:N37))</f>
        <v>5.8311544861231415</v>
      </c>
      <c r="O44" s="104">
        <f>IF(ISERROR(AVERAGE(O23:O27,O13:O17,O33:O37)),"NA",AVERAGE(O23:O27,O13:O17,O33:O37))</f>
        <v>5.5082454460503252</v>
      </c>
      <c r="P44" s="44"/>
      <c r="Q44" s="44">
        <f>IF(ISERROR(AVERAGE(Q23:Q27,Q13:Q17,Q33:Q37)),"NA",AVERAGE(Q23:Q27,Q13:Q17,Q33:Q37))</f>
        <v>6.2535894705238082</v>
      </c>
      <c r="R44" s="44">
        <f>IF(ISERROR(AVERAGE(R23:R27,R13:R17,R33:R37)),"NA",AVERAGE(R23:R27,R13:R17,R33:R37))</f>
        <v>5.8311544861231415</v>
      </c>
      <c r="S44" s="44">
        <f>IF(ISERROR(AVERAGE(S23:S27,S13:S17,S33:S37)),"NA",AVERAGE(S23:S27,S13:S17,S33:S37))</f>
        <v>5.5082454460503252</v>
      </c>
      <c r="T44" s="44"/>
      <c r="U44" s="45">
        <f>IF(ISERROR(AVERAGE(U23:U27,U13:U17,U33:U37)),"NA",AVERAGE(U23:U27,U13:U17,U33:U37))</f>
        <v>0.68513760087308528</v>
      </c>
      <c r="V44" s="44">
        <f>+AVERAGE(V23:V27,V13:V17,V33:V37)</f>
        <v>0</v>
      </c>
      <c r="W44" s="44"/>
      <c r="X44" s="103">
        <f>IF(ISERROR(AVERAGE(X23:X27,X13:X17,X33:X37)),"NA",AVERAGE(X23:X27,X13:X17,X33:X37))</f>
        <v>7.5841066752312027</v>
      </c>
      <c r="Y44" s="44">
        <f>IF(ISERROR(AVERAGE(Y23:Y27,Y13:Y17,Y33:Y37)),"NA",AVERAGE(Y23:Y27,Y13:Y17,Y33:Y37))</f>
        <v>9.0116572564424011</v>
      </c>
      <c r="Z44" s="104">
        <f>IF(ISERROR(AVERAGE(Z23:Z27,Z13:Z17,Z33:Z37)),"NA",AVERAGE(Z23:Z27,Z13:Z17,Z33:Z37))</f>
        <v>8.5025775829586667</v>
      </c>
      <c r="AA44" s="4"/>
      <c r="AB44" s="45">
        <f>+AVERAGE(AB23:AB27,AB13:AB17,AB33:AB37)</f>
        <v>6.6957125790159111E-2</v>
      </c>
      <c r="AC44" s="2"/>
    </row>
    <row r="45" spans="1:29" ht="12.75" customHeight="1" x14ac:dyDescent="0.2">
      <c r="A45" s="2"/>
      <c r="B45" s="42" t="s">
        <v>44</v>
      </c>
      <c r="C45" s="43"/>
      <c r="D45" s="43"/>
      <c r="E45" s="43"/>
      <c r="F45" s="43"/>
      <c r="G45" s="43"/>
      <c r="H45" s="3"/>
      <c r="I45" s="44">
        <f>IF(ISERROR(MEDIAN(I23:I27,I13:I17,I33:I37)),"NA",MEDIAN(I23:I27,I13:I17,I33:I37))</f>
        <v>4.0275126070322216</v>
      </c>
      <c r="J45" s="44">
        <f>IF(ISERROR(MEDIAN(J23:J27,J13:J17,J33:J37)),"NA",MEDIAN(J23:J27,J13:J17,J33:J37))</f>
        <v>3.6787712312623513</v>
      </c>
      <c r="K45" s="44">
        <f>IF(ISERROR(MEDIAN(K23:K27,K13:K17,K33:K37)),"NA",MEDIAN(K23:K27,K13:K17,K33:K37))</f>
        <v>3.3492090597799993</v>
      </c>
      <c r="L45" s="44"/>
      <c r="M45" s="103">
        <f>IF(ISERROR(MEDIAN(M23:M27,M13:M17,M33:M37)),"NA",MEDIAN(M23:M27,M13:M17,M33:M37))</f>
        <v>5.9510462783740712</v>
      </c>
      <c r="N45" s="44">
        <f>IF(ISERROR(MEDIAN(N23:N27,N13:N17,N33:N37)),"NA",MEDIAN(N23:N27,N13:N17,N33:N37))</f>
        <v>5.3144126412575625</v>
      </c>
      <c r="O45" s="104">
        <f>IF(ISERROR(MEDIAN(O23:O27,O13:O17,O33:O37)),"NA",MEDIAN(O23:O27,O13:O17,O33:O37))</f>
        <v>4.838321778275275</v>
      </c>
      <c r="P45" s="44"/>
      <c r="Q45" s="44">
        <f>IF(ISERROR(MEDIAN(Q23:Q27,Q13:Q17,Q33:Q37)),"NA",MEDIAN(Q23:Q27,Q13:Q17,Q33:Q37))</f>
        <v>5.9510462783740712</v>
      </c>
      <c r="R45" s="44">
        <f>IF(ISERROR(MEDIAN(R23:R27,R13:R17,R33:R37)),"NA",MEDIAN(R23:R27,R13:R17,R33:R37))</f>
        <v>5.3144126412575625</v>
      </c>
      <c r="S45" s="44">
        <f>IF(ISERROR(MEDIAN(S23:S27,S13:S17,S33:S37)),"NA",MEDIAN(S23:S27,S13:S17,S33:S37))</f>
        <v>4.838321778275275</v>
      </c>
      <c r="T45" s="44"/>
      <c r="U45" s="45">
        <f>IF(ISERROR(MEDIAN(U23:U27,U13:U17,U33:U37)),"NA",MEDIAN(U23:U27,U13:U17,U33:U37))</f>
        <v>0.69222536517070954</v>
      </c>
      <c r="V45" s="44">
        <f>MEDIAN(V23:V27,V13:V17,V33:V37)</f>
        <v>0</v>
      </c>
      <c r="W45" s="44"/>
      <c r="X45" s="103">
        <f>IF(ISERROR(MEDIAN(X23:X27,X13:X17,X33:X37)),"NA",MEDIAN(X23:X27,X13:X17,X33:X37))</f>
        <v>7.1796081327424792</v>
      </c>
      <c r="Y45" s="44">
        <f>IF(ISERROR(MEDIAN(Y23:Y27,Y13:Y17,Y33:Y37)),"NA",MEDIAN(Y23:Y27,Y13:Y17,Y33:Y37))</f>
        <v>7.7362621980483128</v>
      </c>
      <c r="Z45" s="104">
        <f>IF(ISERROR(MEDIAN(Z23:Z27,Z13:Z17,Z33:Z37)),"NA",MEDIAN(Z23:Z27,Z13:Z17,Z33:Z37))</f>
        <v>7.0432103041226428</v>
      </c>
      <c r="AA45" s="4"/>
      <c r="AB45" s="45">
        <f>MEDIAN(AB23:AB27,AB13:AB17,AB33:AB37)</f>
        <v>7.1123058938307657E-2</v>
      </c>
      <c r="AC45" s="2"/>
    </row>
    <row r="46" spans="1:29" ht="12.75" customHeight="1" x14ac:dyDescent="0.2">
      <c r="A46" s="2"/>
      <c r="B46" s="46"/>
      <c r="C46" s="47"/>
      <c r="D46" s="47"/>
      <c r="E46" s="47"/>
      <c r="F46" s="47"/>
      <c r="G46" s="47"/>
      <c r="H46" s="28"/>
      <c r="I46" s="48"/>
      <c r="J46" s="48"/>
      <c r="K46" s="48"/>
      <c r="L46" s="48"/>
      <c r="M46" s="91"/>
      <c r="N46" s="48"/>
      <c r="O46" s="92"/>
      <c r="P46" s="48"/>
      <c r="Q46" s="48"/>
      <c r="R46" s="48"/>
      <c r="S46" s="48"/>
      <c r="T46" s="48"/>
      <c r="U46" s="33"/>
      <c r="V46" s="48"/>
      <c r="W46" s="48"/>
      <c r="X46" s="91"/>
      <c r="Y46" s="48"/>
      <c r="Z46" s="92"/>
      <c r="AA46" s="2"/>
      <c r="AB46" s="33"/>
      <c r="AC46" s="2"/>
    </row>
    <row r="47" spans="1:29" ht="12.75" customHeight="1" x14ac:dyDescent="0.2">
      <c r="A47" s="2"/>
      <c r="B47" s="42" t="s">
        <v>49</v>
      </c>
      <c r="C47" s="43"/>
      <c r="D47" s="43"/>
      <c r="E47" s="43"/>
      <c r="F47" s="43"/>
      <c r="G47" s="43"/>
      <c r="H47" s="3"/>
      <c r="I47" s="44">
        <f>MAX(I23:I27,I13:I17,I33:I37)</f>
        <v>7.1157010563080441</v>
      </c>
      <c r="J47" s="44">
        <f>MAX(J23:J27,J13:J17,J33:J37)</f>
        <v>6.7992651626459155</v>
      </c>
      <c r="K47" s="44">
        <f>MAX(K23:K27,K13:K17,K33:K37)</f>
        <v>6.5493260487749314</v>
      </c>
      <c r="L47" s="44"/>
      <c r="M47" s="103">
        <f>MAX(M23:M27,M13:M17,M33:M37)</f>
        <v>10.920261018088627</v>
      </c>
      <c r="N47" s="44">
        <f>MAX(N23:N27,N13:N17,N33:N37)</f>
        <v>10.434635985932553</v>
      </c>
      <c r="O47" s="104">
        <f>MAX(O23:O27,O13:O17,O33:O37)</f>
        <v>10.05106164230814</v>
      </c>
      <c r="P47" s="44"/>
      <c r="Q47" s="44">
        <f>MAX(Q23:Q27,Q13:Q17,Q33:Q37)</f>
        <v>10.920261018088627</v>
      </c>
      <c r="R47" s="44">
        <f>MAX(R23:R27,R13:R17,R33:R37)</f>
        <v>10.434635985932553</v>
      </c>
      <c r="S47" s="44">
        <f>MAX(S23:S27,S13:S17,S33:S37)</f>
        <v>10.05106164230814</v>
      </c>
      <c r="T47" s="44"/>
      <c r="U47" s="45">
        <f>MAX(U23:U27,U13:U17,U33:U37)</f>
        <v>0.70925873223404212</v>
      </c>
      <c r="V47" s="44">
        <f>MAX(V23:V27,V13:V17,V33:V37)</f>
        <v>0</v>
      </c>
      <c r="W47" s="44"/>
      <c r="X47" s="103">
        <f>MAX(X23:X27,X13:X17,X33:X37)</f>
        <v>13.436204904006788</v>
      </c>
      <c r="Y47" s="44">
        <f>MAX(Y23:Y27,Y13:Y17,Y33:Y37)</f>
        <v>15.297404050466859</v>
      </c>
      <c r="Z47" s="104">
        <f>MAX(Z23:Z27,Z13:Z17,Z33:Z37)</f>
        <v>14.735075692704706</v>
      </c>
      <c r="AA47" s="107"/>
      <c r="AB47" s="45">
        <f>MAX(AB23:AB27,AB13:AB17,AB33:AB37)</f>
        <v>9.8399999999999987E-2</v>
      </c>
      <c r="AC47" s="2"/>
    </row>
    <row r="48" spans="1:29" ht="12.75" customHeight="1" x14ac:dyDescent="0.2">
      <c r="A48" s="2"/>
      <c r="B48" s="42" t="s">
        <v>50</v>
      </c>
      <c r="C48" s="43"/>
      <c r="D48" s="43"/>
      <c r="E48" s="43"/>
      <c r="F48" s="43"/>
      <c r="G48" s="43"/>
      <c r="H48" s="3"/>
      <c r="I48" s="44">
        <f>MIN(I23:I27,I13:I17,I33:I37)</f>
        <v>2.9480521255006886</v>
      </c>
      <c r="J48" s="44">
        <f>MIN(J23:J27,J13:J17,J33:J37)</f>
        <v>2.6321893977684714</v>
      </c>
      <c r="K48" s="44">
        <f>MIN(K23:K27,K13:K17,K33:K37)</f>
        <v>2.3963851035765398</v>
      </c>
      <c r="L48" s="44"/>
      <c r="M48" s="103">
        <f>MIN(M23:M27,M13:M17,M33:M37)</f>
        <v>4.1565256676006443</v>
      </c>
      <c r="N48" s="44">
        <f>MIN(N23:N27,N13:N17,N33:N37)</f>
        <v>3.7111836317862883</v>
      </c>
      <c r="O48" s="104">
        <f>MIN(O23:O27,O13:O17,O33:O37)</f>
        <v>3.3787178002424332</v>
      </c>
      <c r="P48" s="44"/>
      <c r="Q48" s="44">
        <f>MIN(Q23:Q27,Q13:Q17,Q33:Q37)</f>
        <v>4.1565256676006443</v>
      </c>
      <c r="R48" s="44">
        <f>MIN(R23:R27,R13:R17,R33:R37)</f>
        <v>3.7111836317862883</v>
      </c>
      <c r="S48" s="44">
        <f>MIN(S23:S27,S13:S17,S33:S37)</f>
        <v>3.3787178002424332</v>
      </c>
      <c r="T48" s="44"/>
      <c r="U48" s="45">
        <f>MIN(U23:U27,U13:U17,U33:U37)</f>
        <v>0.65160540068789541</v>
      </c>
      <c r="V48" s="44">
        <f>MIN(V23:V27,V13:V17,V33:V37)</f>
        <v>0</v>
      </c>
      <c r="W48" s="44"/>
      <c r="X48" s="103">
        <f>MIN(X23:X27,X13:X17,X33:X37)</f>
        <v>4.9098347242366414</v>
      </c>
      <c r="Y48" s="44">
        <f>MIN(Y23:Y27,Y13:Y17,Y33:Y37)</f>
        <v>6.6326530612244898</v>
      </c>
      <c r="Z48" s="104">
        <f>MIN(Z23:Z27,Z13:Z17,Z33:Z37)</f>
        <v>6.0384678270434158</v>
      </c>
      <c r="AA48" s="107"/>
      <c r="AB48" s="45">
        <f>MIN(AB23:AB27,AB13:AB17,AB33:AB37)</f>
        <v>2.87E-2</v>
      </c>
      <c r="AC48" s="2"/>
    </row>
    <row r="49" spans="1:29" ht="12.75" customHeight="1" x14ac:dyDescent="0.2">
      <c r="A49" s="2"/>
      <c r="B49" s="2"/>
      <c r="C49" s="30"/>
      <c r="D49" s="2"/>
      <c r="E49" s="46"/>
      <c r="F49" s="47"/>
      <c r="G49" s="47"/>
      <c r="H49" s="28"/>
      <c r="I49" s="48"/>
      <c r="J49" s="48"/>
      <c r="K49" s="48"/>
      <c r="L49" s="48"/>
      <c r="M49" s="48"/>
      <c r="N49" s="48"/>
      <c r="O49" s="48"/>
      <c r="P49" s="48"/>
      <c r="Q49" s="48"/>
      <c r="R49" s="48"/>
      <c r="S49" s="48"/>
      <c r="T49" s="48"/>
      <c r="U49" s="33"/>
      <c r="V49" s="50"/>
      <c r="W49" s="48"/>
      <c r="X49" s="48"/>
      <c r="Y49" s="48"/>
      <c r="Z49" s="48"/>
      <c r="AA49" s="30"/>
      <c r="AB49" s="39"/>
      <c r="AC49" s="2"/>
    </row>
    <row r="50" spans="1:29" ht="12.75" customHeight="1" x14ac:dyDescent="0.2">
      <c r="A50" s="60"/>
      <c r="B50" s="51"/>
      <c r="C50" s="52"/>
      <c r="D50" s="51"/>
      <c r="E50" s="53"/>
      <c r="F50" s="54"/>
      <c r="G50" s="54"/>
      <c r="H50" s="55"/>
      <c r="I50" s="56"/>
      <c r="J50" s="56"/>
      <c r="K50" s="56"/>
      <c r="L50" s="56"/>
      <c r="M50" s="56"/>
      <c r="N50" s="56"/>
      <c r="O50" s="56"/>
      <c r="P50" s="56"/>
      <c r="Q50" s="2"/>
      <c r="R50" s="56"/>
      <c r="S50" s="56"/>
      <c r="T50" s="48"/>
      <c r="U50" s="108"/>
      <c r="V50" s="56"/>
      <c r="W50" s="56"/>
      <c r="X50" s="48"/>
      <c r="Y50" s="48"/>
      <c r="Z50" s="48"/>
      <c r="AA50" s="30"/>
      <c r="AB50" s="39"/>
      <c r="AC50" s="2"/>
    </row>
    <row r="51" spans="1:29" ht="12.75" customHeight="1" x14ac:dyDescent="0.2">
      <c r="A51" s="60"/>
      <c r="B51" s="59" t="s">
        <v>51</v>
      </c>
      <c r="C51" s="60"/>
      <c r="D51" s="60"/>
      <c r="E51" s="61"/>
      <c r="F51" s="62"/>
      <c r="G51" s="62"/>
      <c r="H51" s="60"/>
      <c r="I51" s="63"/>
      <c r="J51" s="63"/>
      <c r="K51" s="63"/>
      <c r="L51" s="63"/>
      <c r="M51" s="63"/>
      <c r="N51" s="63"/>
      <c r="O51" s="63"/>
      <c r="P51" s="63"/>
      <c r="Q51" s="2"/>
      <c r="R51" s="63"/>
      <c r="S51" s="63"/>
      <c r="T51" s="67"/>
      <c r="U51" s="109"/>
      <c r="V51" s="63"/>
      <c r="W51" s="63"/>
      <c r="X51" s="67"/>
      <c r="Y51" s="67"/>
      <c r="Z51" s="67"/>
      <c r="AA51" s="2"/>
      <c r="AB51" s="39"/>
      <c r="AC51" s="2"/>
    </row>
    <row r="52" spans="1:29" ht="12.75" customHeight="1" x14ac:dyDescent="0.2">
      <c r="A52" s="60"/>
      <c r="B52" s="60" t="s">
        <v>52</v>
      </c>
      <c r="C52" s="60"/>
      <c r="D52" s="60"/>
      <c r="E52" s="61"/>
      <c r="F52" s="62"/>
      <c r="G52" s="62"/>
      <c r="H52" s="60"/>
      <c r="I52" s="63"/>
      <c r="J52" s="63"/>
      <c r="K52" s="63"/>
      <c r="L52" s="63"/>
      <c r="M52" s="63"/>
      <c r="N52" s="63"/>
      <c r="O52" s="63"/>
      <c r="P52" s="63"/>
      <c r="Q52" s="63"/>
      <c r="R52" s="63"/>
      <c r="S52" s="63"/>
      <c r="T52" s="67"/>
      <c r="U52" s="63"/>
      <c r="V52" s="63"/>
      <c r="W52" s="63"/>
      <c r="X52" s="67"/>
      <c r="Y52" s="67"/>
      <c r="Z52" s="67"/>
      <c r="AA52" s="2"/>
      <c r="AB52" s="2"/>
      <c r="AC52" s="2"/>
    </row>
    <row r="53" spans="1:29" ht="12.75" customHeight="1" x14ac:dyDescent="0.2">
      <c r="A53" s="60"/>
      <c r="B53" s="2"/>
      <c r="C53" s="60"/>
      <c r="D53" s="60"/>
      <c r="E53" s="61"/>
      <c r="F53" s="62"/>
      <c r="G53" s="62"/>
      <c r="H53" s="60"/>
      <c r="I53" s="63"/>
      <c r="J53" s="63"/>
      <c r="K53" s="63"/>
      <c r="L53" s="63"/>
      <c r="M53" s="160"/>
      <c r="N53" s="160"/>
      <c r="O53" s="160"/>
      <c r="P53" s="63"/>
      <c r="Q53" s="63"/>
      <c r="R53" s="63"/>
      <c r="S53" s="63"/>
      <c r="T53" s="67"/>
      <c r="U53" s="63"/>
      <c r="V53" s="63"/>
      <c r="W53" s="63"/>
      <c r="X53" s="67"/>
      <c r="Y53" s="67"/>
      <c r="Z53" s="67"/>
      <c r="AA53" s="2"/>
      <c r="AB53" s="2"/>
      <c r="AC53" s="2"/>
    </row>
    <row r="54" spans="1:29"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sheetData>
  <mergeCells count="6">
    <mergeCell ref="X6:Z6"/>
    <mergeCell ref="B12:AB12"/>
    <mergeCell ref="I6:S6"/>
    <mergeCell ref="B42:AB42"/>
    <mergeCell ref="B22:AB22"/>
    <mergeCell ref="B32:AB3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Đầu tư và Phát triển Việt Nam (HOSE:BID)</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93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98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101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2018111939</v>
      </c>
      <c r="T9" s="168">
        <v>2338009521</v>
      </c>
      <c r="U9" s="110"/>
      <c r="V9" s="2"/>
      <c r="W9" s="2"/>
      <c r="X9" s="2"/>
      <c r="Y9" s="2"/>
      <c r="Z9" s="2"/>
    </row>
    <row r="10" spans="1:26" ht="15" customHeight="1" x14ac:dyDescent="0.2">
      <c r="A10" s="24"/>
      <c r="B10" s="111" t="s">
        <v>107</v>
      </c>
      <c r="C10" s="111"/>
      <c r="D10" s="121"/>
      <c r="E10" s="150">
        <v>46022</v>
      </c>
      <c r="F10" s="2"/>
      <c r="G10" s="122" t="s">
        <v>23</v>
      </c>
      <c r="H10" s="122"/>
      <c r="I10" s="166">
        <v>73013017</v>
      </c>
      <c r="J10" s="166">
        <v>81096615</v>
      </c>
      <c r="K10" s="166">
        <v>91213932</v>
      </c>
      <c r="L10" s="169">
        <v>0</v>
      </c>
      <c r="M10" s="170">
        <v>0</v>
      </c>
      <c r="N10" s="171">
        <f>K10+M10-L10</f>
        <v>91213932</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277838108</v>
      </c>
      <c r="T11" s="168">
        <v>285463101</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73013017</v>
      </c>
      <c r="J12" s="171">
        <f t="shared" si="0"/>
        <v>81096615</v>
      </c>
      <c r="K12" s="171">
        <f t="shared" si="0"/>
        <v>91213932</v>
      </c>
      <c r="L12" s="177">
        <f t="shared" si="0"/>
        <v>0</v>
      </c>
      <c r="M12" s="178">
        <f t="shared" si="0"/>
        <v>0</v>
      </c>
      <c r="N12" s="171">
        <f t="shared" si="0"/>
        <v>91213932</v>
      </c>
      <c r="O12" s="2"/>
      <c r="P12" s="124" t="s">
        <v>115</v>
      </c>
      <c r="Q12" s="120"/>
      <c r="R12" s="120"/>
      <c r="S12" s="171">
        <f>SUM(S8:S11)</f>
        <v>2295950047</v>
      </c>
      <c r="T12" s="171">
        <f>SUM(T8:T11)</f>
        <v>2623472622</v>
      </c>
      <c r="U12" s="110"/>
      <c r="V12" s="2"/>
      <c r="W12" s="2"/>
      <c r="X12" s="2"/>
      <c r="Y12" s="2"/>
      <c r="Z12" s="2"/>
    </row>
    <row r="13" spans="1:26" ht="12.75" customHeight="1" x14ac:dyDescent="0.2">
      <c r="A13" s="24"/>
      <c r="B13" s="111" t="s">
        <v>116</v>
      </c>
      <c r="C13" s="111"/>
      <c r="D13" s="179"/>
      <c r="E13" s="180">
        <v>1</v>
      </c>
      <c r="F13" s="2"/>
      <c r="G13" s="111" t="s">
        <v>117</v>
      </c>
      <c r="H13" s="125"/>
      <c r="I13" s="168">
        <v>-25080598</v>
      </c>
      <c r="J13" s="168">
        <v>-27979504</v>
      </c>
      <c r="K13" s="168">
        <v>-30427752</v>
      </c>
      <c r="L13" s="172">
        <v>0</v>
      </c>
      <c r="M13" s="173">
        <v>0</v>
      </c>
      <c r="N13" s="181">
        <f>K13+M13-L13</f>
        <v>-30427752</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50161196</v>
      </c>
      <c r="J14" s="183">
        <v>55959008</v>
      </c>
      <c r="K14" s="183">
        <v>60855504</v>
      </c>
      <c r="L14" s="184">
        <v>0</v>
      </c>
      <c r="M14" s="185">
        <v>0</v>
      </c>
      <c r="N14" s="186">
        <f>K14+M14-L14</f>
        <v>60855504</v>
      </c>
      <c r="O14" s="2"/>
      <c r="P14" s="111" t="s">
        <v>120</v>
      </c>
      <c r="Q14" s="123"/>
      <c r="R14" s="123"/>
      <c r="S14" s="168">
        <v>12164849</v>
      </c>
      <c r="T14" s="168">
        <v>13123069</v>
      </c>
      <c r="U14" s="110"/>
      <c r="V14" s="2"/>
      <c r="W14" s="2"/>
      <c r="X14" s="2"/>
      <c r="Y14" s="2"/>
      <c r="Z14" s="2"/>
    </row>
    <row r="15" spans="1:26" ht="12.75" customHeight="1" x14ac:dyDescent="0.2">
      <c r="A15" s="24"/>
      <c r="B15" s="2"/>
      <c r="C15" s="2"/>
      <c r="D15" s="2"/>
      <c r="E15" s="2"/>
      <c r="F15" s="2"/>
      <c r="G15" s="122" t="s">
        <v>121</v>
      </c>
      <c r="H15" s="125"/>
      <c r="I15" s="171">
        <f t="shared" ref="I15:N15" si="1">I12-SUM(I13:I14)</f>
        <v>47932419</v>
      </c>
      <c r="J15" s="171">
        <f t="shared" si="1"/>
        <v>53117111</v>
      </c>
      <c r="K15" s="171">
        <f t="shared" si="1"/>
        <v>60786180</v>
      </c>
      <c r="L15" s="177">
        <f t="shared" si="1"/>
        <v>0</v>
      </c>
      <c r="M15" s="178">
        <f t="shared" si="1"/>
        <v>0</v>
      </c>
      <c r="N15" s="171">
        <f t="shared" si="1"/>
        <v>60786180</v>
      </c>
      <c r="O15" s="2"/>
      <c r="P15" s="111" t="s">
        <v>122</v>
      </c>
      <c r="Q15" s="120"/>
      <c r="R15" s="120"/>
      <c r="S15" s="168">
        <v>5320612</v>
      </c>
      <c r="T15" s="168">
        <v>5582260</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344357537</v>
      </c>
      <c r="T16" s="168">
        <v>551942870</v>
      </c>
      <c r="U16" s="110"/>
      <c r="V16" s="2"/>
      <c r="W16" s="2"/>
      <c r="X16" s="2"/>
      <c r="Y16" s="2"/>
      <c r="Z16" s="2"/>
    </row>
    <row r="17" spans="1:26" ht="15" customHeight="1" x14ac:dyDescent="0.2">
      <c r="A17" s="24"/>
      <c r="B17" s="111" t="s">
        <v>126</v>
      </c>
      <c r="C17" s="111"/>
      <c r="D17" s="126">
        <v>0</v>
      </c>
      <c r="E17" s="187">
        <v>41650</v>
      </c>
      <c r="F17" s="2"/>
      <c r="G17" s="122" t="s">
        <v>127</v>
      </c>
      <c r="H17" s="111"/>
      <c r="I17" s="171">
        <f t="shared" ref="I17:N17" si="2">I15-SUM(I16)</f>
        <v>47932419</v>
      </c>
      <c r="J17" s="171">
        <f t="shared" si="2"/>
        <v>53117111</v>
      </c>
      <c r="K17" s="171">
        <f t="shared" si="2"/>
        <v>60786180</v>
      </c>
      <c r="L17" s="177">
        <f t="shared" si="2"/>
        <v>0</v>
      </c>
      <c r="M17" s="178">
        <f t="shared" si="2"/>
        <v>0</v>
      </c>
      <c r="N17" s="171">
        <f t="shared" si="2"/>
        <v>60786180</v>
      </c>
      <c r="O17" s="2"/>
      <c r="P17" s="124" t="s">
        <v>128</v>
      </c>
      <c r="Q17" s="120"/>
      <c r="R17" s="120"/>
      <c r="S17" s="188">
        <f>SUM(S12:S16)</f>
        <v>2657793045</v>
      </c>
      <c r="T17" s="188">
        <f>SUM(T12:T16)</f>
        <v>3194120821</v>
      </c>
      <c r="U17" s="110"/>
      <c r="V17" s="2"/>
      <c r="W17" s="2"/>
      <c r="X17" s="2"/>
      <c r="Y17" s="2"/>
      <c r="Z17" s="2"/>
    </row>
    <row r="18" spans="1:26" ht="12.75" customHeight="1" x14ac:dyDescent="0.2">
      <c r="A18" s="127"/>
      <c r="B18" s="128" t="s">
        <v>129</v>
      </c>
      <c r="C18" s="128"/>
      <c r="D18" s="129"/>
      <c r="E18" s="189">
        <f>+IF(ISERROR(E17/E19),"NA",E17/E19)</f>
        <v>0.73586572438162545</v>
      </c>
      <c r="F18" s="2"/>
      <c r="G18" s="111" t="s">
        <v>130</v>
      </c>
      <c r="H18" s="111"/>
      <c r="I18" s="168">
        <v>5611763</v>
      </c>
      <c r="J18" s="168">
        <v>6399103</v>
      </c>
      <c r="K18" s="168">
        <v>7357388</v>
      </c>
      <c r="L18" s="172">
        <v>0</v>
      </c>
      <c r="M18" s="173">
        <v>0</v>
      </c>
      <c r="N18" s="181">
        <f>K18+M18-L18</f>
        <v>7357388</v>
      </c>
      <c r="O18" s="2"/>
      <c r="P18" s="111"/>
      <c r="Q18" s="111"/>
      <c r="R18" s="111"/>
      <c r="S18" s="111"/>
      <c r="T18" s="111"/>
      <c r="U18" s="110"/>
      <c r="V18" s="2"/>
      <c r="W18" s="2"/>
      <c r="X18" s="2"/>
      <c r="Y18" s="2"/>
      <c r="Z18" s="2"/>
    </row>
    <row r="19" spans="1:26" ht="15" customHeight="1" x14ac:dyDescent="0.2">
      <c r="A19" s="24"/>
      <c r="B19" s="111" t="s">
        <v>131</v>
      </c>
      <c r="C19" s="111"/>
      <c r="D19" s="190">
        <v>0</v>
      </c>
      <c r="E19" s="191">
        <v>56600</v>
      </c>
      <c r="F19" s="2"/>
      <c r="G19" s="111" t="s">
        <v>132</v>
      </c>
      <c r="H19" s="111"/>
      <c r="I19" s="183">
        <v>472223</v>
      </c>
      <c r="J19" s="183">
        <v>465069</v>
      </c>
      <c r="K19" s="183">
        <v>525866</v>
      </c>
      <c r="L19" s="184">
        <v>0</v>
      </c>
      <c r="M19" s="185">
        <v>0</v>
      </c>
      <c r="N19" s="192">
        <f>K19+M19-L19</f>
        <v>525866</v>
      </c>
      <c r="O19" s="2"/>
      <c r="P19" s="111" t="s">
        <v>133</v>
      </c>
      <c r="Q19" s="123"/>
      <c r="R19" s="123"/>
      <c r="S19" s="168">
        <v>1953165486</v>
      </c>
      <c r="T19" s="168">
        <v>2222991628</v>
      </c>
      <c r="U19" s="110"/>
      <c r="V19" s="2"/>
      <c r="W19" s="2"/>
      <c r="X19" s="2"/>
      <c r="Y19" s="2"/>
      <c r="Z19" s="2"/>
    </row>
    <row r="20" spans="1:26" ht="15" customHeight="1" x14ac:dyDescent="0.2">
      <c r="A20" s="24"/>
      <c r="B20" s="111" t="s">
        <v>134</v>
      </c>
      <c r="C20" s="111"/>
      <c r="D20" s="190">
        <v>0</v>
      </c>
      <c r="E20" s="191">
        <v>34615</v>
      </c>
      <c r="F20" s="2"/>
      <c r="G20" s="111" t="s">
        <v>135</v>
      </c>
      <c r="H20" s="111"/>
      <c r="I20" s="183">
        <v>0</v>
      </c>
      <c r="J20" s="183">
        <v>0</v>
      </c>
      <c r="K20" s="183">
        <v>0</v>
      </c>
      <c r="L20" s="184">
        <v>0</v>
      </c>
      <c r="M20" s="185">
        <v>0</v>
      </c>
      <c r="N20" s="186">
        <f>K20+M20-L20</f>
        <v>0</v>
      </c>
      <c r="O20" s="2"/>
      <c r="P20" s="111" t="s">
        <v>136</v>
      </c>
      <c r="Q20" s="176"/>
      <c r="R20" s="176"/>
      <c r="S20" s="168">
        <v>50532627</v>
      </c>
      <c r="T20" s="168">
        <v>59809064</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41848433</v>
      </c>
      <c r="J21" s="188">
        <f t="shared" si="3"/>
        <v>46252939</v>
      </c>
      <c r="K21" s="188">
        <f t="shared" si="3"/>
        <v>52902926</v>
      </c>
      <c r="L21" s="193">
        <f t="shared" si="3"/>
        <v>0</v>
      </c>
      <c r="M21" s="194">
        <f t="shared" si="3"/>
        <v>0</v>
      </c>
      <c r="N21" s="188">
        <f t="shared" si="3"/>
        <v>52902926</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0.11707656565382189</v>
      </c>
      <c r="J22" s="189">
        <f t="shared" si="4"/>
        <v>0.12047159341930325</v>
      </c>
      <c r="K22" s="189">
        <f t="shared" si="4"/>
        <v>0.12103718312287431</v>
      </c>
      <c r="L22" s="195" t="str">
        <f t="shared" si="4"/>
        <v>NA</v>
      </c>
      <c r="M22" s="196" t="str">
        <f t="shared" si="4"/>
        <v>NA</v>
      </c>
      <c r="N22" s="189">
        <f t="shared" si="4"/>
        <v>0.12103718312287431</v>
      </c>
      <c r="O22" s="2"/>
      <c r="P22" s="124" t="s">
        <v>141</v>
      </c>
      <c r="Q22" s="123"/>
      <c r="R22" s="123"/>
      <c r="S22" s="171">
        <f>SUM(S19:S21)</f>
        <v>2003698113</v>
      </c>
      <c r="T22" s="171">
        <f>SUM(T19:T21)</f>
        <v>2282800692</v>
      </c>
      <c r="U22" s="110"/>
      <c r="V22" s="2"/>
      <c r="W22" s="2"/>
      <c r="X22" s="2"/>
      <c r="Y22" s="2"/>
      <c r="Z22" s="2"/>
    </row>
    <row r="23" spans="1:26" ht="15" customHeight="1" x14ac:dyDescent="0.2">
      <c r="A23" s="24"/>
      <c r="B23" s="111" t="s">
        <v>142</v>
      </c>
      <c r="C23" s="111"/>
      <c r="D23" s="111"/>
      <c r="E23" s="197">
        <f>+T40</f>
        <v>7280.0652099999998</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303214715.99650002</v>
      </c>
      <c r="F24" s="2"/>
      <c r="G24" s="111" t="s">
        <v>144</v>
      </c>
      <c r="H24" s="111"/>
      <c r="I24" s="168">
        <v>7280.0652099999998</v>
      </c>
      <c r="J24" s="168">
        <v>7280.0652099999998</v>
      </c>
      <c r="K24" s="168">
        <v>7280.0652099999998</v>
      </c>
      <c r="L24" s="172">
        <v>0</v>
      </c>
      <c r="M24" s="173">
        <v>0</v>
      </c>
      <c r="N24" s="181">
        <f>+IF(ISERROR(K24+M24-L24),"NA",K24+M24-L24)</f>
        <v>7280.0652099999998</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5748.3596359159537</v>
      </c>
      <c r="J25" s="199">
        <f>+IF(ISERROR(J21/J24),"NA",J21/J24)</f>
        <v>6353.3687770359957</v>
      </c>
      <c r="K25" s="199">
        <f>+IF(ISERROR(K21/K24),"NA",K21/K24)</f>
        <v>7266.8203476160897</v>
      </c>
      <c r="L25" s="200" t="str">
        <f>+IF(ISERROR(L21/L24),"NA",L21/L24)</f>
        <v>NA</v>
      </c>
      <c r="M25" s="201" t="str">
        <f>+IF(ISERROR(M21/M24),"NA",M21/M24)</f>
        <v>NA</v>
      </c>
      <c r="N25" s="199" t="str">
        <f>+IF(ISERROR(K25+M25-L25),"NA",K25+M25-L25)</f>
        <v>NA</v>
      </c>
      <c r="O25" s="2"/>
      <c r="P25" s="133" t="s">
        <v>147</v>
      </c>
      <c r="Q25" s="134"/>
      <c r="R25" s="134"/>
      <c r="S25" s="168">
        <v>612224657</v>
      </c>
      <c r="T25" s="168">
        <v>874472126</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2615922770</v>
      </c>
      <c r="T26" s="171">
        <f>T22+SUM(T24:T25)</f>
        <v>3157272818</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525866</v>
      </c>
      <c r="F28" s="2"/>
      <c r="G28" s="265" t="s">
        <v>152</v>
      </c>
      <c r="H28" s="263"/>
      <c r="I28" s="263"/>
      <c r="J28" s="263"/>
      <c r="K28" s="263"/>
      <c r="L28" s="263"/>
      <c r="M28" s="263"/>
      <c r="N28" s="263"/>
      <c r="O28" s="2"/>
      <c r="P28" s="111" t="s">
        <v>132</v>
      </c>
      <c r="Q28" s="136"/>
      <c r="R28" s="136"/>
      <c r="S28" s="168">
        <v>465069</v>
      </c>
      <c r="T28" s="168">
        <v>525866</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73013017</v>
      </c>
      <c r="J29" s="204">
        <f t="shared" si="5"/>
        <v>81096615</v>
      </c>
      <c r="K29" s="204">
        <f t="shared" si="5"/>
        <v>91213932</v>
      </c>
      <c r="L29" s="205">
        <f t="shared" si="5"/>
        <v>0</v>
      </c>
      <c r="M29" s="206">
        <f t="shared" si="5"/>
        <v>0</v>
      </c>
      <c r="N29" s="204">
        <f t="shared" si="5"/>
        <v>91213932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303740581.99650002</v>
      </c>
      <c r="F30" s="207"/>
      <c r="G30" s="111" t="s">
        <v>157</v>
      </c>
      <c r="H30" s="111"/>
      <c r="I30" s="209">
        <v>0</v>
      </c>
      <c r="J30" s="209">
        <v>0</v>
      </c>
      <c r="K30" s="209">
        <v>0</v>
      </c>
      <c r="L30" s="172">
        <v>0</v>
      </c>
      <c r="M30" s="173">
        <v>0</v>
      </c>
      <c r="N30" s="174">
        <f>K30+M30-L30</f>
        <v>0</v>
      </c>
      <c r="O30" s="2"/>
      <c r="P30" s="133" t="s">
        <v>158</v>
      </c>
      <c r="Q30" s="210"/>
      <c r="R30" s="210"/>
      <c r="S30" s="168">
        <v>144984194</v>
      </c>
      <c r="T30" s="168">
        <v>173552902</v>
      </c>
      <c r="U30" s="2"/>
      <c r="V30" s="2"/>
      <c r="W30" s="2"/>
      <c r="X30" s="2"/>
      <c r="Y30" s="2"/>
      <c r="Z30" s="2"/>
    </row>
    <row r="31" spans="1:26" ht="15" customHeight="1" x14ac:dyDescent="0.2">
      <c r="A31" s="24"/>
      <c r="B31" s="2"/>
      <c r="C31" s="2"/>
      <c r="D31" s="2"/>
      <c r="E31" s="2"/>
      <c r="F31" s="207"/>
      <c r="G31" s="122" t="s">
        <v>159</v>
      </c>
      <c r="H31" s="111"/>
      <c r="I31" s="171">
        <f t="shared" ref="I31:N31" si="6">SUM(I29:I30)</f>
        <v>73013017</v>
      </c>
      <c r="J31" s="171">
        <f t="shared" si="6"/>
        <v>81096615</v>
      </c>
      <c r="K31" s="171">
        <f t="shared" si="6"/>
        <v>91213932</v>
      </c>
      <c r="L31" s="177">
        <f t="shared" si="6"/>
        <v>0</v>
      </c>
      <c r="M31" s="178">
        <f t="shared" si="6"/>
        <v>0</v>
      </c>
      <c r="N31" s="171">
        <f t="shared" si="6"/>
        <v>91213932</v>
      </c>
      <c r="O31" s="2"/>
      <c r="P31" s="124" t="s">
        <v>160</v>
      </c>
      <c r="Q31" s="210"/>
      <c r="R31" s="210"/>
      <c r="S31" s="188">
        <f>S26+SUM(S28:S30)</f>
        <v>2761372033</v>
      </c>
      <c r="T31" s="188">
        <f>T26+SUM(T28:T30)</f>
        <v>3331351586</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-103578988</v>
      </c>
      <c r="T32" s="211">
        <f>T17-T31</f>
        <v>-137230765</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47932419</v>
      </c>
      <c r="J34" s="204">
        <f t="shared" si="8"/>
        <v>53117111</v>
      </c>
      <c r="K34" s="204">
        <f t="shared" si="8"/>
        <v>60786180</v>
      </c>
      <c r="L34" s="213">
        <f t="shared" si="8"/>
        <v>0</v>
      </c>
      <c r="M34" s="214">
        <f t="shared" si="8"/>
        <v>0</v>
      </c>
      <c r="N34" s="204">
        <f t="shared" si="8"/>
        <v>60786180</v>
      </c>
      <c r="O34" s="2"/>
      <c r="P34" s="265" t="s">
        <v>167</v>
      </c>
      <c r="Q34" s="263"/>
      <c r="R34" s="263"/>
      <c r="S34" s="263"/>
      <c r="T34" s="263"/>
      <c r="U34" s="110"/>
      <c r="V34" s="2"/>
      <c r="W34" s="2"/>
      <c r="X34" s="2"/>
      <c r="Y34" s="2"/>
      <c r="Z34" s="2"/>
    </row>
    <row r="35" spans="1:26" ht="12.75" customHeight="1" x14ac:dyDescent="0.2">
      <c r="A35" s="24"/>
      <c r="B35" s="111" t="s">
        <v>168</v>
      </c>
      <c r="C35" s="215">
        <f>IF(ISERROR(E30/N10),"NA",E30/N10)</f>
        <v>3.3299801393990998</v>
      </c>
      <c r="D35" s="215">
        <f>IF(ISERROR($E$30/D36),"NA",$E$30/D36)</f>
        <v>2.9731965530349105</v>
      </c>
      <c r="E35" s="215">
        <f>IF(ISERROR($E$30/E36),"NA",$E$30/E36)</f>
        <v>2.70684318375356</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7280.0652099999998</v>
      </c>
      <c r="U35" s="110"/>
      <c r="V35" s="2"/>
      <c r="W35" s="2"/>
      <c r="X35" s="2"/>
      <c r="Y35" s="2"/>
      <c r="Z35" s="2"/>
    </row>
    <row r="36" spans="1:26" ht="15" customHeight="1" x14ac:dyDescent="0.2">
      <c r="A36" s="24"/>
      <c r="B36" s="111" t="s">
        <v>170</v>
      </c>
      <c r="C36" s="204">
        <f>N10</f>
        <v>91213932</v>
      </c>
      <c r="D36" s="166">
        <v>102159603.84</v>
      </c>
      <c r="E36" s="166">
        <v>112212108.85785601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4.9968690580079222</v>
      </c>
      <c r="D37" s="215">
        <f>IF(ISERROR($E$30/D38),"NA",$E$30/D38)</f>
        <v>4.4614902303642161</v>
      </c>
      <c r="E37" s="215">
        <f>IF(ISERROR($E$30/E38),"NA",$E$30/E38)</f>
        <v>4.0618082942135985</v>
      </c>
      <c r="F37" s="2"/>
      <c r="G37" s="122" t="s">
        <v>174</v>
      </c>
      <c r="H37" s="111"/>
      <c r="I37" s="171">
        <f t="shared" ref="I37:N37" si="10">SUM(I34:I36)</f>
        <v>47932419</v>
      </c>
      <c r="J37" s="171">
        <f t="shared" si="10"/>
        <v>53117111</v>
      </c>
      <c r="K37" s="171">
        <f t="shared" si="10"/>
        <v>60786180</v>
      </c>
      <c r="L37" s="177">
        <f t="shared" si="10"/>
        <v>0</v>
      </c>
      <c r="M37" s="178">
        <f t="shared" si="10"/>
        <v>0</v>
      </c>
      <c r="N37" s="171">
        <f t="shared" si="10"/>
        <v>60786180</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60786180</v>
      </c>
      <c r="D38" s="166">
        <v>68080521.600000009</v>
      </c>
      <c r="E38" s="166">
        <v>74779644.925439999</v>
      </c>
      <c r="F38" s="2"/>
      <c r="G38" s="128" t="s">
        <v>162</v>
      </c>
      <c r="H38" s="128"/>
      <c r="I38" s="189">
        <f t="shared" ref="I38:N38" si="11">IF(ISERROR(I37/I10),"NA",I37/I10)</f>
        <v>0.65649141714004233</v>
      </c>
      <c r="J38" s="189">
        <f t="shared" si="11"/>
        <v>0.65498555026002014</v>
      </c>
      <c r="K38" s="189">
        <f t="shared" si="11"/>
        <v>0.6664133281744723</v>
      </c>
      <c r="L38" s="195" t="str">
        <f t="shared" si="11"/>
        <v>NA</v>
      </c>
      <c r="M38" s="196" t="str">
        <f t="shared" si="11"/>
        <v>NA</v>
      </c>
      <c r="N38" s="189">
        <f t="shared" si="11"/>
        <v>0.6664133281744723</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4.9968690580079222</v>
      </c>
      <c r="D39" s="215">
        <f>IF(ISERROR($E$30/D40),"NA",$E$30/D40)</f>
        <v>4.4614902303642161</v>
      </c>
      <c r="E39" s="215">
        <f>IF(ISERROR($E$30/E40),"NA",$E$30/E40)</f>
        <v>4.0618082942135985</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60786180</v>
      </c>
      <c r="D40" s="166">
        <v>68080521.600000009</v>
      </c>
      <c r="E40" s="166">
        <v>74779644.925439999</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7280.0652099999998</v>
      </c>
      <c r="U40" s="110"/>
      <c r="V40" s="2"/>
      <c r="W40" s="2"/>
      <c r="X40" s="2"/>
      <c r="Y40" s="2"/>
      <c r="Z40" s="2"/>
    </row>
    <row r="41" spans="1:26" ht="12.75" customHeight="1" x14ac:dyDescent="0.2">
      <c r="A41" s="24"/>
      <c r="B41" s="111" t="s">
        <v>181</v>
      </c>
      <c r="C41" s="215">
        <f>IF(ISERROR($E$17/N52),"NA",E17/N52)</f>
        <v>5.7315301614224516</v>
      </c>
      <c r="D41" s="215">
        <f>IF(ISERROR($E$17/D42),"NA",$E$17/D42)</f>
        <v>9.8536036036036041</v>
      </c>
      <c r="E41" s="215">
        <f>IF(ISERROR($E$17/E42),"NA",$E$17/E42)</f>
        <v>8.9708699959974538</v>
      </c>
      <c r="F41" s="2"/>
      <c r="G41" s="122" t="s">
        <v>182</v>
      </c>
      <c r="H41" s="111"/>
      <c r="I41" s="171">
        <f t="shared" ref="I41:N41" si="13">I40+I37</f>
        <v>47932419</v>
      </c>
      <c r="J41" s="171">
        <f t="shared" si="13"/>
        <v>53117111</v>
      </c>
      <c r="K41" s="171">
        <f t="shared" si="13"/>
        <v>60786180</v>
      </c>
      <c r="L41" s="177">
        <f t="shared" si="13"/>
        <v>0</v>
      </c>
      <c r="M41" s="178">
        <f t="shared" si="13"/>
        <v>0</v>
      </c>
      <c r="N41" s="171">
        <f t="shared" si="13"/>
        <v>60786180</v>
      </c>
      <c r="O41" s="2"/>
      <c r="P41" s="111"/>
      <c r="Q41" s="111"/>
      <c r="R41" s="111"/>
      <c r="S41" s="111"/>
      <c r="T41" s="111"/>
      <c r="U41" s="110"/>
      <c r="V41" s="2"/>
      <c r="W41" s="2"/>
      <c r="X41" s="2"/>
      <c r="Y41" s="2"/>
      <c r="Z41" s="2"/>
    </row>
    <row r="42" spans="1:26" ht="15" customHeight="1" x14ac:dyDescent="0.2">
      <c r="A42" s="24"/>
      <c r="B42" s="111" t="s">
        <v>170</v>
      </c>
      <c r="C42" s="199">
        <f>N52</f>
        <v>7266.8203476160897</v>
      </c>
      <c r="D42" s="187">
        <v>4226.88</v>
      </c>
      <c r="E42" s="187">
        <v>4642.8049920000003</v>
      </c>
      <c r="F42" s="2"/>
      <c r="G42" s="128" t="s">
        <v>162</v>
      </c>
      <c r="H42" s="128"/>
      <c r="I42" s="189">
        <f t="shared" ref="I42:N42" si="14">IF(ISERROR(I41/I10),"NA",I41/I10)</f>
        <v>0.65649141714004233</v>
      </c>
      <c r="J42" s="189">
        <f t="shared" si="14"/>
        <v>0.65498555026002014</v>
      </c>
      <c r="K42" s="189">
        <f t="shared" si="14"/>
        <v>0.6664133281744723</v>
      </c>
      <c r="L42" s="195" t="str">
        <f t="shared" si="14"/>
        <v>NA</v>
      </c>
      <c r="M42" s="196" t="str">
        <f t="shared" si="14"/>
        <v>NA</v>
      </c>
      <c r="N42" s="189">
        <f t="shared" si="14"/>
        <v>0.6664133281744723</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41848433</v>
      </c>
      <c r="J44" s="204">
        <f t="shared" si="15"/>
        <v>46252939</v>
      </c>
      <c r="K44" s="204">
        <f t="shared" si="15"/>
        <v>52902926</v>
      </c>
      <c r="L44" s="213">
        <f t="shared" si="15"/>
        <v>0</v>
      </c>
      <c r="M44" s="214">
        <f t="shared" si="15"/>
        <v>0</v>
      </c>
      <c r="N44" s="204">
        <f t="shared" si="15"/>
        <v>52902926</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0.38165840502294274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0.33216179003528051</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1.808055525470716E-2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41848433</v>
      </c>
      <c r="J49" s="188">
        <f t="shared" si="19"/>
        <v>46252939</v>
      </c>
      <c r="K49" s="188">
        <f t="shared" si="19"/>
        <v>52902926</v>
      </c>
      <c r="L49" s="193">
        <f t="shared" si="19"/>
        <v>0</v>
      </c>
      <c r="M49" s="194">
        <f t="shared" si="19"/>
        <v>0</v>
      </c>
      <c r="N49" s="188">
        <f t="shared" si="19"/>
        <v>52902926</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0.57316400170123094</v>
      </c>
      <c r="J50" s="189">
        <f t="shared" si="20"/>
        <v>0.57034364504609714</v>
      </c>
      <c r="K50" s="189">
        <f t="shared" si="20"/>
        <v>0.57998734228450977</v>
      </c>
      <c r="L50" s="195" t="str">
        <f t="shared" si="20"/>
        <v>NA</v>
      </c>
      <c r="M50" s="196" t="str">
        <f t="shared" si="20"/>
        <v>NA</v>
      </c>
      <c r="N50" s="189">
        <f t="shared" si="20"/>
        <v>0.57998734228450977</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5748.3596359159537</v>
      </c>
      <c r="J52" s="199">
        <f t="shared" si="21"/>
        <v>6353.3687770359957</v>
      </c>
      <c r="K52" s="199">
        <f t="shared" si="21"/>
        <v>7266.8203476160897</v>
      </c>
      <c r="L52" s="200">
        <f t="shared" si="21"/>
        <v>0</v>
      </c>
      <c r="M52" s="201">
        <f t="shared" si="21"/>
        <v>0</v>
      </c>
      <c r="N52" s="199">
        <f t="shared" si="21"/>
        <v>7266.8203476160897</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2005077</v>
      </c>
      <c r="J58" s="168">
        <v>1244828</v>
      </c>
      <c r="K58" s="168">
        <v>1822980</v>
      </c>
      <c r="L58" s="172">
        <v>0</v>
      </c>
      <c r="M58" s="173">
        <v>0</v>
      </c>
      <c r="N58" s="181">
        <f>K58+M58-L58</f>
        <v>1822980</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2.7461911346575364E-2</v>
      </c>
      <c r="J59" s="241">
        <f t="shared" si="23"/>
        <v>1.5349937848823899E-2</v>
      </c>
      <c r="K59" s="241">
        <f t="shared" si="23"/>
        <v>1.9985762701250506E-2</v>
      </c>
      <c r="L59" s="244" t="str">
        <f t="shared" si="23"/>
        <v>NA</v>
      </c>
      <c r="M59" s="245" t="str">
        <f t="shared" si="23"/>
        <v>NA</v>
      </c>
      <c r="N59" s="241">
        <f t="shared" si="23"/>
        <v>1.9985762701250506E-2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0.12475634155630289</v>
      </c>
      <c r="D61" s="189">
        <f>IF(ISERROR(K41/J41-1),0,K41/J41-1)</f>
        <v>0.14438038619984428</v>
      </c>
      <c r="E61" s="189">
        <f>IF(ISERROR(K52/J52-1),0,K52/J52-1)</f>
        <v>0.14377436642458563</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0.11771335851256559</v>
      </c>
      <c r="D62" s="189">
        <f>IF(ISERROR((K41/I41)^(1/2)-1),0,(K41/I41)^(1/2)-1)</f>
        <v>0.12612798828467975</v>
      </c>
      <c r="E62" s="189">
        <f>IF(ISERROR((K52/I52)^(1/2)-1),0,(K52/I52)^(1/2)-1)</f>
        <v>0.12434669130012166</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0.12000000000000011</v>
      </c>
      <c r="D64" s="189">
        <f>IF(ISERROR(D38/K41-1),0,D38/K41-1)</f>
        <v>0.12000000000000011</v>
      </c>
      <c r="E64" s="189">
        <f>IF(ISERROR(D42/K52-1),0,D42/K52-1)</f>
        <v>-0.41833156761792722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0.10914742031886804</v>
      </c>
      <c r="D65" s="189">
        <f>IF(ISERROR((E38/K41)^(1/2)-1),0,(E38/K41)^(1/2)-1)</f>
        <v>0.10914742031886804</v>
      </c>
      <c r="E65" s="189">
        <f>IF(ISERROR((E42/K52)^(1/2)-1),0,(E42/K52)^(1/2)-1)</f>
        <v>-0.20068491436200908</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9.8399999999999987E-2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Ngoại thương Việt Nam (HOSE:VCB)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1418015724</v>
      </c>
      <c r="T9" s="168">
        <v>1648549996</v>
      </c>
      <c r="U9" s="110"/>
      <c r="V9" s="2"/>
      <c r="W9" s="2"/>
      <c r="X9" s="2"/>
      <c r="Y9" s="2"/>
      <c r="Z9" s="2"/>
    </row>
    <row r="10" spans="1:26" ht="15" customHeight="1" x14ac:dyDescent="0.2">
      <c r="A10" s="24"/>
      <c r="B10" s="111" t="s">
        <v>107</v>
      </c>
      <c r="C10" s="111"/>
      <c r="D10" s="121"/>
      <c r="E10" s="150">
        <v>46022</v>
      </c>
      <c r="F10" s="2"/>
      <c r="G10" s="122" t="s">
        <v>23</v>
      </c>
      <c r="H10" s="122"/>
      <c r="I10" s="166">
        <v>67723462</v>
      </c>
      <c r="J10" s="166">
        <v>68578496</v>
      </c>
      <c r="K10" s="166">
        <v>72454622</v>
      </c>
      <c r="L10" s="169">
        <v>0</v>
      </c>
      <c r="M10" s="170">
        <v>0</v>
      </c>
      <c r="N10" s="171">
        <f>K10+M10-L10</f>
        <v>72454622</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167383349</v>
      </c>
      <c r="T11" s="168">
        <v>162104164</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67723462</v>
      </c>
      <c r="J12" s="171">
        <f t="shared" si="0"/>
        <v>68578496</v>
      </c>
      <c r="K12" s="171">
        <f t="shared" si="0"/>
        <v>72454622</v>
      </c>
      <c r="L12" s="177">
        <f t="shared" si="0"/>
        <v>0</v>
      </c>
      <c r="M12" s="178">
        <f t="shared" si="0"/>
        <v>0</v>
      </c>
      <c r="N12" s="171">
        <f t="shared" si="0"/>
        <v>72454622</v>
      </c>
      <c r="O12" s="2"/>
      <c r="P12" s="124" t="s">
        <v>115</v>
      </c>
      <c r="Q12" s="120"/>
      <c r="R12" s="120"/>
      <c r="S12" s="171">
        <f>SUM(S8:S11)</f>
        <v>1585399073</v>
      </c>
      <c r="T12" s="171">
        <f>SUM(T8:T11)</f>
        <v>1810654160</v>
      </c>
      <c r="U12" s="110"/>
      <c r="V12" s="2"/>
      <c r="W12" s="2"/>
      <c r="X12" s="2"/>
      <c r="Y12" s="2"/>
      <c r="Z12" s="2"/>
    </row>
    <row r="13" spans="1:26" ht="12.75" customHeight="1" x14ac:dyDescent="0.2">
      <c r="A13" s="24"/>
      <c r="B13" s="111" t="s">
        <v>116</v>
      </c>
      <c r="C13" s="111"/>
      <c r="D13" s="179"/>
      <c r="E13" s="180">
        <v>1</v>
      </c>
      <c r="F13" s="2"/>
      <c r="G13" s="111" t="s">
        <v>117</v>
      </c>
      <c r="H13" s="125"/>
      <c r="I13" s="168">
        <v>-21914899</v>
      </c>
      <c r="J13" s="168">
        <v>-23027363</v>
      </c>
      <c r="K13" s="168">
        <v>-25242799</v>
      </c>
      <c r="L13" s="172">
        <v>0</v>
      </c>
      <c r="M13" s="173">
        <v>0</v>
      </c>
      <c r="N13" s="181">
        <f>K13+M13-L13</f>
        <v>-25242799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43829798</v>
      </c>
      <c r="J14" s="183">
        <v>46054726</v>
      </c>
      <c r="K14" s="183">
        <v>50485598</v>
      </c>
      <c r="L14" s="184">
        <v>0</v>
      </c>
      <c r="M14" s="185">
        <v>0</v>
      </c>
      <c r="N14" s="186">
        <f>K14+M14-L14</f>
        <v>50485598</v>
      </c>
      <c r="O14" s="2"/>
      <c r="P14" s="111" t="s">
        <v>120</v>
      </c>
      <c r="Q14" s="123"/>
      <c r="R14" s="123"/>
      <c r="S14" s="168">
        <v>8092877</v>
      </c>
      <c r="T14" s="168">
        <v>8163312</v>
      </c>
      <c r="U14" s="110"/>
      <c r="V14" s="2"/>
      <c r="W14" s="2"/>
      <c r="X14" s="2"/>
      <c r="Y14" s="2"/>
      <c r="Z14" s="2"/>
    </row>
    <row r="15" spans="1:26" ht="12.75" customHeight="1" x14ac:dyDescent="0.2">
      <c r="A15" s="24"/>
      <c r="B15" s="2"/>
      <c r="C15" s="2"/>
      <c r="D15" s="2"/>
      <c r="E15" s="2"/>
      <c r="F15" s="2"/>
      <c r="G15" s="122" t="s">
        <v>121</v>
      </c>
      <c r="H15" s="125"/>
      <c r="I15" s="171">
        <f t="shared" ref="I15:N15" si="1">I12-SUM(I13:I14)</f>
        <v>45808563</v>
      </c>
      <c r="J15" s="171">
        <f t="shared" si="1"/>
        <v>45551133</v>
      </c>
      <c r="K15" s="171">
        <f t="shared" si="1"/>
        <v>47211823</v>
      </c>
      <c r="L15" s="177">
        <f t="shared" si="1"/>
        <v>0</v>
      </c>
      <c r="M15" s="178">
        <f t="shared" si="1"/>
        <v>0</v>
      </c>
      <c r="N15" s="171">
        <f t="shared" si="1"/>
        <v>47211823</v>
      </c>
      <c r="O15" s="2"/>
      <c r="P15" s="111" t="s">
        <v>122</v>
      </c>
      <c r="Q15" s="120"/>
      <c r="R15" s="120"/>
      <c r="S15" s="168">
        <v>2562298</v>
      </c>
      <c r="T15" s="168">
        <v>2544519</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426210717</v>
      </c>
      <c r="T16" s="168">
        <v>567928902</v>
      </c>
      <c r="U16" s="110"/>
      <c r="V16" s="2"/>
      <c r="W16" s="2"/>
      <c r="X16" s="2"/>
      <c r="Y16" s="2"/>
      <c r="Z16" s="2"/>
    </row>
    <row r="17" spans="1:26" ht="15" customHeight="1" x14ac:dyDescent="0.2">
      <c r="A17" s="24"/>
      <c r="B17" s="111" t="s">
        <v>126</v>
      </c>
      <c r="C17" s="111"/>
      <c r="D17" s="126">
        <v>0</v>
      </c>
      <c r="E17" s="187">
        <v>61700</v>
      </c>
      <c r="F17" s="2"/>
      <c r="G17" s="122" t="s">
        <v>127</v>
      </c>
      <c r="H17" s="111"/>
      <c r="I17" s="171">
        <f t="shared" ref="I17:N17" si="2">I15-SUM(I16)</f>
        <v>45808563</v>
      </c>
      <c r="J17" s="171">
        <f t="shared" si="2"/>
        <v>45551133</v>
      </c>
      <c r="K17" s="171">
        <f t="shared" si="2"/>
        <v>47211823</v>
      </c>
      <c r="L17" s="177">
        <f t="shared" si="2"/>
        <v>0</v>
      </c>
      <c r="M17" s="178">
        <f t="shared" si="2"/>
        <v>0</v>
      </c>
      <c r="N17" s="171">
        <f t="shared" si="2"/>
        <v>47211823</v>
      </c>
      <c r="O17" s="2"/>
      <c r="P17" s="124" t="s">
        <v>128</v>
      </c>
      <c r="Q17" s="120"/>
      <c r="R17" s="120"/>
      <c r="S17" s="188">
        <f>SUM(S12:S16)</f>
        <v>2022264965</v>
      </c>
      <c r="T17" s="188">
        <f>SUM(T12:T16)</f>
        <v>2389290893</v>
      </c>
      <c r="U17" s="110"/>
      <c r="V17" s="2"/>
      <c r="W17" s="2"/>
      <c r="X17" s="2"/>
      <c r="Y17" s="2"/>
      <c r="Z17" s="2"/>
    </row>
    <row r="18" spans="1:26" ht="12.75" customHeight="1" x14ac:dyDescent="0.2">
      <c r="A18" s="127"/>
      <c r="B18" s="128" t="s">
        <v>129</v>
      </c>
      <c r="C18" s="128"/>
      <c r="D18" s="129"/>
      <c r="E18" s="189">
        <f>+IF(ISERROR(E17/E19),"NA",E17/E19)</f>
        <v>0.78299492385786806</v>
      </c>
      <c r="F18" s="2"/>
      <c r="G18" s="111" t="s">
        <v>130</v>
      </c>
      <c r="H18" s="111"/>
      <c r="I18" s="168">
        <v>8189239</v>
      </c>
      <c r="J18" s="168">
        <v>8383018</v>
      </c>
      <c r="K18" s="168">
        <v>8821697</v>
      </c>
      <c r="L18" s="172">
        <v>0</v>
      </c>
      <c r="M18" s="173">
        <v>0</v>
      </c>
      <c r="N18" s="181">
        <f>K18+M18-L18</f>
        <v>8821697</v>
      </c>
      <c r="O18" s="2"/>
      <c r="P18" s="111"/>
      <c r="Q18" s="111"/>
      <c r="R18" s="111"/>
      <c r="S18" s="111"/>
      <c r="T18" s="111"/>
      <c r="U18" s="110"/>
      <c r="V18" s="2"/>
      <c r="W18" s="2"/>
      <c r="X18" s="2"/>
      <c r="Y18" s="2"/>
      <c r="Z18" s="2"/>
    </row>
    <row r="19" spans="1:26" ht="15" customHeight="1" x14ac:dyDescent="0.2">
      <c r="A19" s="24"/>
      <c r="B19" s="111" t="s">
        <v>131</v>
      </c>
      <c r="C19" s="111"/>
      <c r="D19" s="190">
        <v>0</v>
      </c>
      <c r="E19" s="191">
        <v>78800</v>
      </c>
      <c r="F19" s="2"/>
      <c r="G19" s="111" t="s">
        <v>132</v>
      </c>
      <c r="H19" s="111"/>
      <c r="I19" s="183">
        <v>21245</v>
      </c>
      <c r="J19" s="183">
        <v>21731</v>
      </c>
      <c r="K19" s="183">
        <v>20277</v>
      </c>
      <c r="L19" s="184">
        <v>0</v>
      </c>
      <c r="M19" s="185">
        <v>0</v>
      </c>
      <c r="N19" s="192">
        <f>K19+M19-L19</f>
        <v>20277</v>
      </c>
      <c r="O19" s="2"/>
      <c r="P19" s="111" t="s">
        <v>133</v>
      </c>
      <c r="Q19" s="123"/>
      <c r="R19" s="123"/>
      <c r="S19" s="168">
        <v>1514664850</v>
      </c>
      <c r="T19" s="168">
        <v>1672534846</v>
      </c>
      <c r="U19" s="110"/>
      <c r="V19" s="2"/>
      <c r="W19" s="2"/>
      <c r="X19" s="2"/>
      <c r="Y19" s="2"/>
      <c r="Z19" s="2"/>
    </row>
    <row r="20" spans="1:26" ht="15" customHeight="1" x14ac:dyDescent="0.2">
      <c r="A20" s="24"/>
      <c r="B20" s="111" t="s">
        <v>134</v>
      </c>
      <c r="C20" s="111"/>
      <c r="D20" s="190">
        <v>0</v>
      </c>
      <c r="E20" s="191">
        <v>55200</v>
      </c>
      <c r="F20" s="2"/>
      <c r="G20" s="111" t="s">
        <v>135</v>
      </c>
      <c r="H20" s="111"/>
      <c r="I20" s="183">
        <v>0</v>
      </c>
      <c r="J20" s="183">
        <v>0</v>
      </c>
      <c r="K20" s="183">
        <v>0</v>
      </c>
      <c r="L20" s="184">
        <v>0</v>
      </c>
      <c r="M20" s="185">
        <v>0</v>
      </c>
      <c r="N20" s="186">
        <f>K20+M20-L20</f>
        <v>0</v>
      </c>
      <c r="O20" s="2"/>
      <c r="P20" s="111" t="s">
        <v>136</v>
      </c>
      <c r="Q20" s="176"/>
      <c r="R20" s="176"/>
      <c r="S20" s="168">
        <v>38102621</v>
      </c>
      <c r="T20" s="168">
        <v>36797946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37598079</v>
      </c>
      <c r="J21" s="188">
        <f t="shared" si="3"/>
        <v>37146384</v>
      </c>
      <c r="K21" s="188">
        <f t="shared" si="3"/>
        <v>38369849</v>
      </c>
      <c r="L21" s="193">
        <f t="shared" si="3"/>
        <v>0</v>
      </c>
      <c r="M21" s="194">
        <f t="shared" si="3"/>
        <v>0</v>
      </c>
      <c r="N21" s="188">
        <f t="shared" si="3"/>
        <v>38369849</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0.17877092106119985</v>
      </c>
      <c r="J22" s="189">
        <f t="shared" si="4"/>
        <v>0.18403533453273269</v>
      </c>
      <c r="K22" s="189">
        <f t="shared" si="4"/>
        <v>0.18685355572903847</v>
      </c>
      <c r="L22" s="195" t="str">
        <f t="shared" si="4"/>
        <v>NA</v>
      </c>
      <c r="M22" s="196" t="str">
        <f t="shared" si="4"/>
        <v>NA</v>
      </c>
      <c r="N22" s="189">
        <f t="shared" si="4"/>
        <v>0.18685355572903847</v>
      </c>
      <c r="O22" s="2"/>
      <c r="P22" s="124" t="s">
        <v>141</v>
      </c>
      <c r="Q22" s="123"/>
      <c r="R22" s="123"/>
      <c r="S22" s="171">
        <f>SUM(S19:S21)</f>
        <v>1552767471</v>
      </c>
      <c r="T22" s="171">
        <f>SUM(T19:T21)</f>
        <v>1709332792</v>
      </c>
      <c r="U22" s="110"/>
      <c r="V22" s="2"/>
      <c r="W22" s="2"/>
      <c r="X22" s="2"/>
      <c r="Y22" s="2"/>
      <c r="Z22" s="2"/>
    </row>
    <row r="23" spans="1:26" ht="15" customHeight="1" x14ac:dyDescent="0.2">
      <c r="A23" s="24"/>
      <c r="B23" s="111" t="s">
        <v>142</v>
      </c>
      <c r="C23" s="111"/>
      <c r="D23" s="111"/>
      <c r="E23" s="197">
        <f>+T40</f>
        <v>8355.6750940000002</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515545153.29980004</v>
      </c>
      <c r="F24" s="2"/>
      <c r="G24" s="111" t="s">
        <v>144</v>
      </c>
      <c r="H24" s="111"/>
      <c r="I24" s="168">
        <v>8355.6750940000002</v>
      </c>
      <c r="J24" s="168">
        <v>8355.6750940000002</v>
      </c>
      <c r="K24" s="168">
        <v>8355.6750940000002</v>
      </c>
      <c r="L24" s="172">
        <v>0</v>
      </c>
      <c r="M24" s="173">
        <v>0</v>
      </c>
      <c r="N24" s="181">
        <f>+IF(ISERROR(K24+M24-L24),"NA",K24+M24-L24)</f>
        <v>8355.6750940000002</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4499.705718212791</v>
      </c>
      <c r="J25" s="199">
        <f>+IF(ISERROR(J21/J24),"NA",J21/J24)</f>
        <v>4445.6472495769831</v>
      </c>
      <c r="K25" s="199">
        <f>+IF(ISERROR(K21/K24),"NA",K21/K24)</f>
        <v>4592.0704872251945</v>
      </c>
      <c r="L25" s="200" t="str">
        <f>+IF(ISERROR(L21/L24),"NA",L21/L24)</f>
        <v>NA</v>
      </c>
      <c r="M25" s="201" t="str">
        <f>+IF(ISERROR(M21/M24),"NA",M21/M24)</f>
        <v>NA</v>
      </c>
      <c r="N25" s="199" t="str">
        <f>+IF(ISERROR(K25+M25-L25),"NA",K25+M25-L25)</f>
        <v>NA</v>
      </c>
      <c r="O25" s="2"/>
      <c r="P25" s="133" t="s">
        <v>147</v>
      </c>
      <c r="Q25" s="134"/>
      <c r="R25" s="134"/>
      <c r="S25" s="168">
        <v>336896883</v>
      </c>
      <c r="T25" s="168">
        <v>508387648</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1889664354</v>
      </c>
      <c r="T26" s="171">
        <f>T22+SUM(T24:T25)</f>
        <v>2217720440</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20277</v>
      </c>
      <c r="F28" s="2"/>
      <c r="G28" s="265" t="s">
        <v>152</v>
      </c>
      <c r="H28" s="263"/>
      <c r="I28" s="263"/>
      <c r="J28" s="263"/>
      <c r="K28" s="263"/>
      <c r="L28" s="263"/>
      <c r="M28" s="263"/>
      <c r="N28" s="263"/>
      <c r="O28" s="2"/>
      <c r="P28" s="111" t="s">
        <v>132</v>
      </c>
      <c r="Q28" s="136"/>
      <c r="R28" s="136"/>
      <c r="S28" s="168">
        <v>21731</v>
      </c>
      <c r="T28" s="168">
        <v>20277</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67723462</v>
      </c>
      <c r="J29" s="204">
        <f t="shared" si="5"/>
        <v>68578496</v>
      </c>
      <c r="K29" s="204">
        <f t="shared" si="5"/>
        <v>72454622</v>
      </c>
      <c r="L29" s="205">
        <f t="shared" si="5"/>
        <v>0</v>
      </c>
      <c r="M29" s="206">
        <f t="shared" si="5"/>
        <v>0</v>
      </c>
      <c r="N29" s="204">
        <f t="shared" si="5"/>
        <v>72454622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515565430.29980004</v>
      </c>
      <c r="F30" s="207"/>
      <c r="G30" s="111" t="s">
        <v>157</v>
      </c>
      <c r="H30" s="111"/>
      <c r="I30" s="209">
        <v>0</v>
      </c>
      <c r="J30" s="209">
        <v>0</v>
      </c>
      <c r="K30" s="209">
        <v>0</v>
      </c>
      <c r="L30" s="172">
        <v>0</v>
      </c>
      <c r="M30" s="173">
        <v>0</v>
      </c>
      <c r="N30" s="174">
        <f>K30+M30-L30</f>
        <v>0</v>
      </c>
      <c r="O30" s="2"/>
      <c r="P30" s="133" t="s">
        <v>158</v>
      </c>
      <c r="Q30" s="210"/>
      <c r="R30" s="210"/>
      <c r="S30" s="168">
        <v>196209168</v>
      </c>
      <c r="T30" s="168">
        <v>224558726</v>
      </c>
      <c r="U30" s="2"/>
      <c r="V30" s="2"/>
      <c r="W30" s="2"/>
      <c r="X30" s="2"/>
      <c r="Y30" s="2"/>
      <c r="Z30" s="2"/>
    </row>
    <row r="31" spans="1:26" ht="15" customHeight="1" x14ac:dyDescent="0.2">
      <c r="A31" s="24"/>
      <c r="B31" s="2"/>
      <c r="C31" s="2"/>
      <c r="D31" s="2"/>
      <c r="E31" s="2"/>
      <c r="F31" s="207"/>
      <c r="G31" s="122" t="s">
        <v>159</v>
      </c>
      <c r="H31" s="111"/>
      <c r="I31" s="171">
        <f t="shared" ref="I31:N31" si="6">SUM(I29:I30)</f>
        <v>67723462</v>
      </c>
      <c r="J31" s="171">
        <f t="shared" si="6"/>
        <v>68578496</v>
      </c>
      <c r="K31" s="171">
        <f t="shared" si="6"/>
        <v>72454622</v>
      </c>
      <c r="L31" s="177">
        <f t="shared" si="6"/>
        <v>0</v>
      </c>
      <c r="M31" s="178">
        <f t="shared" si="6"/>
        <v>0</v>
      </c>
      <c r="N31" s="171">
        <f t="shared" si="6"/>
        <v>72454622</v>
      </c>
      <c r="O31" s="2"/>
      <c r="P31" s="124" t="s">
        <v>160</v>
      </c>
      <c r="Q31" s="210"/>
      <c r="R31" s="210"/>
      <c r="S31" s="188">
        <f>S26+SUM(S28:S30)</f>
        <v>2085895253</v>
      </c>
      <c r="T31" s="188">
        <f>T26+SUM(T28:T30)</f>
        <v>2442299443</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-63630288</v>
      </c>
      <c r="T32" s="211">
        <f>T17-T31</f>
        <v>-53008550</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45808563</v>
      </c>
      <c r="J34" s="204">
        <f t="shared" si="8"/>
        <v>45551133</v>
      </c>
      <c r="K34" s="204">
        <f t="shared" si="8"/>
        <v>47211823</v>
      </c>
      <c r="L34" s="213">
        <f t="shared" si="8"/>
        <v>0</v>
      </c>
      <c r="M34" s="214">
        <f t="shared" si="8"/>
        <v>0</v>
      </c>
      <c r="N34" s="204">
        <f t="shared" si="8"/>
        <v>47211823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7.1157010563080441</v>
      </c>
      <c r="D35" s="215">
        <f>IF(ISERROR($E$30/D36),"NA",$E$30/D36)</f>
        <v>6.7992651626459155</v>
      </c>
      <c r="E35" s="215">
        <f>IF(ISERROR($E$30/E36),"NA",$E$30/E36)</f>
        <v>6.5493260487749314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8355.6750940000002</v>
      </c>
      <c r="U35" s="110"/>
      <c r="V35" s="2"/>
      <c r="W35" s="2"/>
      <c r="X35" s="2"/>
      <c r="Y35" s="2"/>
      <c r="Z35" s="2"/>
    </row>
    <row r="36" spans="1:26" ht="15" customHeight="1" x14ac:dyDescent="0.2">
      <c r="A36" s="24"/>
      <c r="B36" s="111" t="s">
        <v>170</v>
      </c>
      <c r="C36" s="204">
        <f>N10</f>
        <v>72454622</v>
      </c>
      <c r="D36" s="166">
        <v>75826639.786345556</v>
      </c>
      <c r="E36" s="166">
        <v>78720379.236003667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10.920261018088627</v>
      </c>
      <c r="D37" s="215">
        <f>IF(ISERROR($E$30/D38),"NA",$E$30/D38)</f>
        <v>10.434635985932553</v>
      </c>
      <c r="E37" s="215">
        <f>IF(ISERROR($E$30/E38),"NA",$E$30/E38)</f>
        <v>10.05106164230814</v>
      </c>
      <c r="F37" s="2"/>
      <c r="G37" s="122" t="s">
        <v>174</v>
      </c>
      <c r="H37" s="111"/>
      <c r="I37" s="171">
        <f t="shared" ref="I37:N37" si="10">SUM(I34:I36)</f>
        <v>45808563</v>
      </c>
      <c r="J37" s="171">
        <f t="shared" si="10"/>
        <v>45551133</v>
      </c>
      <c r="K37" s="171">
        <f t="shared" si="10"/>
        <v>47211823</v>
      </c>
      <c r="L37" s="177">
        <f t="shared" si="10"/>
        <v>0</v>
      </c>
      <c r="M37" s="178">
        <f t="shared" si="10"/>
        <v>0</v>
      </c>
      <c r="N37" s="171">
        <f t="shared" si="10"/>
        <v>47211823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47211823</v>
      </c>
      <c r="D38" s="166">
        <v>49409048.000798412</v>
      </c>
      <c r="E38" s="166">
        <v>51294624.25437925</v>
      </c>
      <c r="F38" s="2"/>
      <c r="G38" s="128" t="s">
        <v>162</v>
      </c>
      <c r="H38" s="128"/>
      <c r="I38" s="189">
        <f t="shared" ref="I38:N38" si="11">IF(ISERROR(I37/I10),"NA",I37/I10)</f>
        <v>0.67640610280673485</v>
      </c>
      <c r="J38" s="189">
        <f t="shared" si="11"/>
        <v>0.66421889742230567</v>
      </c>
      <c r="K38" s="189">
        <f t="shared" si="11"/>
        <v>0.65160540068789541</v>
      </c>
      <c r="L38" s="195" t="str">
        <f t="shared" si="11"/>
        <v>NA</v>
      </c>
      <c r="M38" s="196" t="str">
        <f t="shared" si="11"/>
        <v>NA</v>
      </c>
      <c r="N38" s="189">
        <f t="shared" si="11"/>
        <v>0.65160540068789541</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10.920261018088627</v>
      </c>
      <c r="D39" s="215">
        <f>IF(ISERROR($E$30/D40),"NA",$E$30/D40)</f>
        <v>10.434635985932553</v>
      </c>
      <c r="E39" s="215">
        <f>IF(ISERROR($E$30/E40),"NA",$E$30/E40)</f>
        <v>10.05106164230814</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47211823</v>
      </c>
      <c r="D40" s="166">
        <v>49409048.000798412</v>
      </c>
      <c r="E40" s="166">
        <v>51294624.25437925</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8355.6750940000002</v>
      </c>
      <c r="U40" s="110"/>
      <c r="V40" s="2"/>
      <c r="W40" s="2"/>
      <c r="X40" s="2"/>
      <c r="Y40" s="2"/>
      <c r="Z40" s="2"/>
    </row>
    <row r="41" spans="1:26" ht="12.75" customHeight="1" x14ac:dyDescent="0.2">
      <c r="A41" s="24"/>
      <c r="B41" s="111" t="s">
        <v>181</v>
      </c>
      <c r="C41" s="215">
        <f>IF(ISERROR($E$17/N52),"NA",E17/N52)</f>
        <v>13.436204904006788</v>
      </c>
      <c r="D41" s="215">
        <f>IF(ISERROR($E$17/D42),"NA",$E$17/D42)</f>
        <v>15.297404050466859</v>
      </c>
      <c r="E41" s="215">
        <f>IF(ISERROR($E$17/E42),"NA",$E$17/E42)</f>
        <v>14.735075692704706</v>
      </c>
      <c r="F41" s="2"/>
      <c r="G41" s="122" t="s">
        <v>182</v>
      </c>
      <c r="H41" s="111"/>
      <c r="I41" s="171">
        <f t="shared" ref="I41:N41" si="13">I40+I37</f>
        <v>45808563</v>
      </c>
      <c r="J41" s="171">
        <f t="shared" si="13"/>
        <v>45551133</v>
      </c>
      <c r="K41" s="171">
        <f t="shared" si="13"/>
        <v>47211823</v>
      </c>
      <c r="L41" s="177">
        <f t="shared" si="13"/>
        <v>0</v>
      </c>
      <c r="M41" s="178">
        <f t="shared" si="13"/>
        <v>0</v>
      </c>
      <c r="N41" s="171">
        <f t="shared" si="13"/>
        <v>47211823</v>
      </c>
      <c r="O41" s="2"/>
      <c r="P41" s="111"/>
      <c r="Q41" s="111"/>
      <c r="R41" s="111"/>
      <c r="S41" s="111"/>
      <c r="T41" s="111"/>
      <c r="U41" s="110"/>
      <c r="V41" s="2"/>
      <c r="W41" s="2"/>
      <c r="X41" s="2"/>
      <c r="Y41" s="2"/>
      <c r="Z41" s="2"/>
    </row>
    <row r="42" spans="1:26" ht="15" customHeight="1" x14ac:dyDescent="0.2">
      <c r="A42" s="24"/>
      <c r="B42" s="111" t="s">
        <v>170</v>
      </c>
      <c r="C42" s="199">
        <f>N52</f>
        <v>4592.0704872251945</v>
      </c>
      <c r="D42" s="187">
        <v>4033.3640790586942</v>
      </c>
      <c r="E42" s="187">
        <v>4187.2876181116253</v>
      </c>
      <c r="F42" s="2"/>
      <c r="G42" s="128" t="s">
        <v>162</v>
      </c>
      <c r="H42" s="128"/>
      <c r="I42" s="189">
        <f t="shared" ref="I42:N42" si="14">IF(ISERROR(I41/I10),"NA",I41/I10)</f>
        <v>0.67640610280673485</v>
      </c>
      <c r="J42" s="189">
        <f t="shared" si="14"/>
        <v>0.66421889742230567</v>
      </c>
      <c r="K42" s="189">
        <f t="shared" si="14"/>
        <v>0.65160540068789541</v>
      </c>
      <c r="L42" s="195" t="str">
        <f t="shared" si="14"/>
        <v>NA</v>
      </c>
      <c r="M42" s="196" t="str">
        <f t="shared" si="14"/>
        <v>NA</v>
      </c>
      <c r="N42" s="189">
        <f t="shared" si="14"/>
        <v>0.65160540068789541</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37598079</v>
      </c>
      <c r="J44" s="204">
        <f t="shared" si="15"/>
        <v>37146384</v>
      </c>
      <c r="K44" s="204">
        <f t="shared" si="15"/>
        <v>38369849</v>
      </c>
      <c r="L44" s="213">
        <f t="shared" si="15"/>
        <v>0</v>
      </c>
      <c r="M44" s="214">
        <f t="shared" si="15"/>
        <v>0</v>
      </c>
      <c r="N44" s="204">
        <f t="shared" si="15"/>
        <v>38369849</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0.22440791549556774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0.18238011762370823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1.7395155013358556E-2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37598079</v>
      </c>
      <c r="J49" s="188">
        <f t="shared" si="19"/>
        <v>37146384</v>
      </c>
      <c r="K49" s="188">
        <f t="shared" si="19"/>
        <v>38369849</v>
      </c>
      <c r="L49" s="193">
        <f t="shared" si="19"/>
        <v>0</v>
      </c>
      <c r="M49" s="194">
        <f t="shared" si="19"/>
        <v>0</v>
      </c>
      <c r="N49" s="188">
        <f t="shared" si="19"/>
        <v>38369849</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0.55517065858210257</v>
      </c>
      <c r="J50" s="189">
        <f t="shared" si="20"/>
        <v>0.54166227267509626</v>
      </c>
      <c r="K50" s="189">
        <f t="shared" si="20"/>
        <v>0.52957075671445775</v>
      </c>
      <c r="L50" s="195" t="str">
        <f t="shared" si="20"/>
        <v>NA</v>
      </c>
      <c r="M50" s="196" t="str">
        <f t="shared" si="20"/>
        <v>NA</v>
      </c>
      <c r="N50" s="189">
        <f t="shared" si="20"/>
        <v>0.52957075671445775</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4499.705718212791</v>
      </c>
      <c r="J52" s="199">
        <f t="shared" si="21"/>
        <v>4445.6472495769831</v>
      </c>
      <c r="K52" s="199">
        <f t="shared" si="21"/>
        <v>4592.0704872251945</v>
      </c>
      <c r="L52" s="200">
        <f t="shared" si="21"/>
        <v>0</v>
      </c>
      <c r="M52" s="201">
        <f t="shared" si="21"/>
        <v>0</v>
      </c>
      <c r="N52" s="199">
        <f t="shared" si="21"/>
        <v>4592.0704872251945</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1008160</v>
      </c>
      <c r="J58" s="168">
        <v>1480121</v>
      </c>
      <c r="K58" s="168">
        <v>1453488</v>
      </c>
      <c r="L58" s="172">
        <v>0</v>
      </c>
      <c r="M58" s="173">
        <v>0</v>
      </c>
      <c r="N58" s="181">
        <f>K58+M58-L58</f>
        <v>1453488</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1.4886421488612026E-2</v>
      </c>
      <c r="J59" s="241">
        <f t="shared" si="23"/>
        <v>2.1582873441843928E-2</v>
      </c>
      <c r="K59" s="241">
        <f t="shared" si="23"/>
        <v>2.0060666385092726E-2</v>
      </c>
      <c r="L59" s="244" t="str">
        <f t="shared" si="23"/>
        <v>NA</v>
      </c>
      <c r="M59" s="245" t="str">
        <f t="shared" si="23"/>
        <v>NA</v>
      </c>
      <c r="N59" s="241">
        <f t="shared" si="23"/>
        <v>2.0060666385092726E-2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5.6521012067689558E-2</v>
      </c>
      <c r="D61" s="189">
        <f>IF(ISERROR(K41/J41-1),0,K41/J41-1)</f>
        <v>3.6457710063984683E-2</v>
      </c>
      <c r="E61" s="189">
        <f>IF(ISERROR(K52/J52-1),0,K52/J52-1)</f>
        <v>3.2936314877916706E-2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3.434036197821122E-2</v>
      </c>
      <c r="D62" s="189">
        <f>IF(ISERROR((K41/I41)^(1/2)-1),0,(K41/I41)^(1/2)-1)</f>
        <v>1.5201032949779147E-2</v>
      </c>
      <c r="E62" s="189">
        <f>IF(ISERROR((K52/I52)^(1/2)-1),0,(K52/I52)^(1/2)-1)</f>
        <v>1.0211288096538818E-2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4.6539719527424417E-2</v>
      </c>
      <c r="D64" s="189">
        <f>IF(ISERROR(D38/K41-1),0,D38/K41-1)</f>
        <v>4.6539719527424639E-2</v>
      </c>
      <c r="E64" s="189">
        <f>IF(ISERROR(D42/K52-1),0,D42/K52-1)</f>
        <v>-0.12166764637450156</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4.2342729069829055E-2</v>
      </c>
      <c r="D65" s="189">
        <f>IF(ISERROR((E38/K41)^(1/2)-1),0,(E38/K41)^(1/2)-1)</f>
        <v>4.2342729069829055E-2</v>
      </c>
      <c r="E65" s="189">
        <f>IF(ISERROR((E42/K52)^(1/2)-1),0,(E42/K52)^(1/2)-1)</f>
        <v>-4.5090698775551386E-2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3.8162570012487927E-2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Công thương Việt Nam (HOSE:CTG)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1685290589</v>
      </c>
      <c r="T9" s="168">
        <v>1957462503</v>
      </c>
      <c r="U9" s="110"/>
      <c r="V9" s="2"/>
      <c r="W9" s="2"/>
      <c r="X9" s="2"/>
      <c r="Y9" s="2"/>
      <c r="Z9" s="2"/>
    </row>
    <row r="10" spans="1:26" ht="15" customHeight="1" x14ac:dyDescent="0.2">
      <c r="A10" s="24"/>
      <c r="B10" s="111" t="s">
        <v>107</v>
      </c>
      <c r="C10" s="111"/>
      <c r="D10" s="121"/>
      <c r="E10" s="150">
        <v>46022</v>
      </c>
      <c r="F10" s="2"/>
      <c r="G10" s="122" t="s">
        <v>23</v>
      </c>
      <c r="H10" s="122"/>
      <c r="I10" s="166">
        <v>70548165</v>
      </c>
      <c r="J10" s="166">
        <v>81908683</v>
      </c>
      <c r="K10" s="166">
        <v>87294789</v>
      </c>
      <c r="L10" s="169">
        <v>0</v>
      </c>
      <c r="M10" s="170">
        <v>0</v>
      </c>
      <c r="N10" s="171">
        <f>K10+M10-L10</f>
        <v>87294789</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214607153</v>
      </c>
      <c r="T11" s="168">
        <v>211880390</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70548165</v>
      </c>
      <c r="J12" s="171">
        <f t="shared" si="0"/>
        <v>81908683</v>
      </c>
      <c r="K12" s="171">
        <f t="shared" si="0"/>
        <v>87294789</v>
      </c>
      <c r="L12" s="177">
        <f t="shared" si="0"/>
        <v>0</v>
      </c>
      <c r="M12" s="178">
        <f t="shared" si="0"/>
        <v>0</v>
      </c>
      <c r="N12" s="171">
        <f t="shared" si="0"/>
        <v>87294789</v>
      </c>
      <c r="O12" s="2"/>
      <c r="P12" s="124" t="s">
        <v>115</v>
      </c>
      <c r="Q12" s="120"/>
      <c r="R12" s="120"/>
      <c r="S12" s="171">
        <f>SUM(S8:S11)</f>
        <v>1899897742</v>
      </c>
      <c r="T12" s="171">
        <f>SUM(T8:T11)</f>
        <v>2169342893</v>
      </c>
      <c r="U12" s="110"/>
      <c r="V12" s="2"/>
      <c r="W12" s="2"/>
      <c r="X12" s="2"/>
      <c r="Y12" s="2"/>
      <c r="Z12" s="2"/>
    </row>
    <row r="13" spans="1:26" ht="12.75" customHeight="1" x14ac:dyDescent="0.2">
      <c r="A13" s="24"/>
      <c r="B13" s="111" t="s">
        <v>116</v>
      </c>
      <c r="C13" s="111"/>
      <c r="D13" s="179"/>
      <c r="E13" s="180">
        <v>1</v>
      </c>
      <c r="F13" s="2"/>
      <c r="G13" s="111" t="s">
        <v>117</v>
      </c>
      <c r="H13" s="125"/>
      <c r="I13" s="168">
        <v>-20443499</v>
      </c>
      <c r="J13" s="168">
        <v>-22545929</v>
      </c>
      <c r="K13" s="168">
        <v>-26552924</v>
      </c>
      <c r="L13" s="172">
        <v>0</v>
      </c>
      <c r="M13" s="173">
        <v>0</v>
      </c>
      <c r="N13" s="181">
        <f>K13+M13-L13</f>
        <v>-26552924</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40886998</v>
      </c>
      <c r="J14" s="183">
        <v>45091858</v>
      </c>
      <c r="K14" s="183">
        <v>53105848</v>
      </c>
      <c r="L14" s="184">
        <v>0</v>
      </c>
      <c r="M14" s="185">
        <v>0</v>
      </c>
      <c r="N14" s="186">
        <f>K14+M14-L14</f>
        <v>53105848</v>
      </c>
      <c r="O14" s="2"/>
      <c r="P14" s="111" t="s">
        <v>120</v>
      </c>
      <c r="Q14" s="123"/>
      <c r="R14" s="123"/>
      <c r="S14" s="168">
        <v>10002157</v>
      </c>
      <c r="T14" s="168">
        <v>10826743</v>
      </c>
      <c r="U14" s="110"/>
      <c r="V14" s="2"/>
      <c r="W14" s="2"/>
      <c r="X14" s="2"/>
      <c r="Y14" s="2"/>
      <c r="Z14" s="2"/>
    </row>
    <row r="15" spans="1:26" ht="12.75" customHeight="1" x14ac:dyDescent="0.2">
      <c r="A15" s="24"/>
      <c r="B15" s="2"/>
      <c r="C15" s="2"/>
      <c r="D15" s="2"/>
      <c r="E15" s="2"/>
      <c r="F15" s="2"/>
      <c r="G15" s="122" t="s">
        <v>121</v>
      </c>
      <c r="H15" s="125"/>
      <c r="I15" s="171">
        <f t="shared" ref="I15:N15" si="1">I12-SUM(I13:I14)</f>
        <v>50104666</v>
      </c>
      <c r="J15" s="171">
        <f t="shared" si="1"/>
        <v>59362754</v>
      </c>
      <c r="K15" s="171">
        <f t="shared" si="1"/>
        <v>60741865</v>
      </c>
      <c r="L15" s="177">
        <f t="shared" si="1"/>
        <v>0</v>
      </c>
      <c r="M15" s="178">
        <f t="shared" si="1"/>
        <v>0</v>
      </c>
      <c r="N15" s="171">
        <f t="shared" si="1"/>
        <v>60741865</v>
      </c>
      <c r="O15" s="2"/>
      <c r="P15" s="111" t="s">
        <v>122</v>
      </c>
      <c r="Q15" s="120"/>
      <c r="R15" s="120"/>
      <c r="S15" s="168">
        <v>3852941</v>
      </c>
      <c r="T15" s="168">
        <v>4097726</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426055686</v>
      </c>
      <c r="T16" s="168">
        <v>535622911</v>
      </c>
      <c r="U16" s="110"/>
      <c r="V16" s="2"/>
      <c r="W16" s="2"/>
      <c r="X16" s="2"/>
      <c r="Y16" s="2"/>
      <c r="Z16" s="2"/>
    </row>
    <row r="17" spans="1:26" ht="15" customHeight="1" x14ac:dyDescent="0.2">
      <c r="A17" s="24"/>
      <c r="B17" s="111" t="s">
        <v>126</v>
      </c>
      <c r="C17" s="111"/>
      <c r="D17" s="126">
        <v>0</v>
      </c>
      <c r="E17" s="187">
        <v>33500</v>
      </c>
      <c r="F17" s="2"/>
      <c r="G17" s="122" t="s">
        <v>127</v>
      </c>
      <c r="H17" s="111"/>
      <c r="I17" s="171">
        <f t="shared" ref="I17:N17" si="2">I15-SUM(I16)</f>
        <v>50104666</v>
      </c>
      <c r="J17" s="171">
        <f t="shared" si="2"/>
        <v>59362754</v>
      </c>
      <c r="K17" s="171">
        <f t="shared" si="2"/>
        <v>60741865</v>
      </c>
      <c r="L17" s="177">
        <f t="shared" si="2"/>
        <v>0</v>
      </c>
      <c r="M17" s="178">
        <f t="shared" si="2"/>
        <v>0</v>
      </c>
      <c r="N17" s="171">
        <f t="shared" si="2"/>
        <v>60741865</v>
      </c>
      <c r="O17" s="2"/>
      <c r="P17" s="124" t="s">
        <v>128</v>
      </c>
      <c r="Q17" s="120"/>
      <c r="R17" s="120"/>
      <c r="S17" s="188">
        <f>SUM(S12:S16)</f>
        <v>2339808526</v>
      </c>
      <c r="T17" s="188">
        <f>SUM(T12:T16)</f>
        <v>2719890273</v>
      </c>
      <c r="U17" s="110"/>
      <c r="V17" s="2"/>
      <c r="W17" s="2"/>
      <c r="X17" s="2"/>
      <c r="Y17" s="2"/>
      <c r="Z17" s="2"/>
    </row>
    <row r="18" spans="1:26" ht="12.75" customHeight="1" x14ac:dyDescent="0.2">
      <c r="A18" s="127"/>
      <c r="B18" s="128" t="s">
        <v>129</v>
      </c>
      <c r="C18" s="128"/>
      <c r="D18" s="129"/>
      <c r="E18" s="189">
        <f>+IF(ISERROR(E17/E19),"NA",E17/E19)</f>
        <v>0.77011494252873558</v>
      </c>
      <c r="F18" s="2"/>
      <c r="G18" s="111" t="s">
        <v>130</v>
      </c>
      <c r="H18" s="111"/>
      <c r="I18" s="168">
        <v>4944903</v>
      </c>
      <c r="J18" s="168">
        <v>6281358</v>
      </c>
      <c r="K18" s="168">
        <v>8572543</v>
      </c>
      <c r="L18" s="172">
        <v>0</v>
      </c>
      <c r="M18" s="173">
        <v>0</v>
      </c>
      <c r="N18" s="181">
        <f>K18+M18-L18</f>
        <v>8572543</v>
      </c>
      <c r="O18" s="2"/>
      <c r="P18" s="111"/>
      <c r="Q18" s="111"/>
      <c r="R18" s="111"/>
      <c r="S18" s="111"/>
      <c r="T18" s="111"/>
      <c r="U18" s="110"/>
      <c r="V18" s="2"/>
      <c r="W18" s="2"/>
      <c r="X18" s="2"/>
      <c r="Y18" s="2"/>
      <c r="Z18" s="2"/>
    </row>
    <row r="19" spans="1:26" ht="15" customHeight="1" x14ac:dyDescent="0.2">
      <c r="A19" s="24"/>
      <c r="B19" s="111" t="s">
        <v>131</v>
      </c>
      <c r="C19" s="111"/>
      <c r="D19" s="190">
        <v>0</v>
      </c>
      <c r="E19" s="191">
        <v>43500</v>
      </c>
      <c r="F19" s="2"/>
      <c r="G19" s="111" t="s">
        <v>132</v>
      </c>
      <c r="H19" s="111"/>
      <c r="I19" s="183">
        <v>141072</v>
      </c>
      <c r="J19" s="183">
        <v>134352</v>
      </c>
      <c r="K19" s="183">
        <v>266785</v>
      </c>
      <c r="L19" s="184">
        <v>0</v>
      </c>
      <c r="M19" s="185">
        <v>0</v>
      </c>
      <c r="N19" s="192">
        <f>K19+M19-L19</f>
        <v>266785</v>
      </c>
      <c r="O19" s="2"/>
      <c r="P19" s="111" t="s">
        <v>133</v>
      </c>
      <c r="Q19" s="123"/>
      <c r="R19" s="123"/>
      <c r="S19" s="168">
        <v>1606316685</v>
      </c>
      <c r="T19" s="168">
        <v>1793732057</v>
      </c>
      <c r="U19" s="110"/>
      <c r="V19" s="2"/>
      <c r="W19" s="2"/>
      <c r="X19" s="2"/>
      <c r="Y19" s="2"/>
      <c r="Z19" s="2"/>
    </row>
    <row r="20" spans="1:26" ht="15" customHeight="1" x14ac:dyDescent="0.2">
      <c r="A20" s="24"/>
      <c r="B20" s="111" t="s">
        <v>134</v>
      </c>
      <c r="C20" s="111"/>
      <c r="D20" s="190">
        <v>0</v>
      </c>
      <c r="E20" s="191">
        <v>25754</v>
      </c>
      <c r="F20" s="2"/>
      <c r="G20" s="111" t="s">
        <v>135</v>
      </c>
      <c r="H20" s="111"/>
      <c r="I20" s="183">
        <v>0</v>
      </c>
      <c r="J20" s="183">
        <v>0</v>
      </c>
      <c r="K20" s="183">
        <v>0</v>
      </c>
      <c r="L20" s="184">
        <v>0</v>
      </c>
      <c r="M20" s="185">
        <v>0</v>
      </c>
      <c r="N20" s="186">
        <f>K20+M20-L20</f>
        <v>0</v>
      </c>
      <c r="O20" s="2"/>
      <c r="P20" s="111" t="s">
        <v>136</v>
      </c>
      <c r="Q20" s="176"/>
      <c r="R20" s="176"/>
      <c r="S20" s="168">
        <v>45892099</v>
      </c>
      <c r="T20" s="168">
        <v>55851516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45018691</v>
      </c>
      <c r="J21" s="188">
        <f t="shared" si="3"/>
        <v>52947044</v>
      </c>
      <c r="K21" s="188">
        <f t="shared" si="3"/>
        <v>51902537</v>
      </c>
      <c r="L21" s="193">
        <f t="shared" si="3"/>
        <v>0</v>
      </c>
      <c r="M21" s="194">
        <f t="shared" si="3"/>
        <v>0</v>
      </c>
      <c r="N21" s="188">
        <f t="shared" si="3"/>
        <v>51902537</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9.8691467177927109E-2</v>
      </c>
      <c r="J22" s="189">
        <f t="shared" si="4"/>
        <v>0.10581311641976718</v>
      </c>
      <c r="K22" s="189">
        <f t="shared" si="4"/>
        <v>0.14113071766894217</v>
      </c>
      <c r="L22" s="195" t="str">
        <f t="shared" si="4"/>
        <v>NA</v>
      </c>
      <c r="M22" s="196" t="str">
        <f t="shared" si="4"/>
        <v>NA</v>
      </c>
      <c r="N22" s="189">
        <f t="shared" si="4"/>
        <v>0.14113071766894217</v>
      </c>
      <c r="O22" s="2"/>
      <c r="P22" s="124" t="s">
        <v>141</v>
      </c>
      <c r="Q22" s="123"/>
      <c r="R22" s="123"/>
      <c r="S22" s="171">
        <f>SUM(S19:S21)</f>
        <v>1652208784</v>
      </c>
      <c r="T22" s="171">
        <f>SUM(T19:T21)</f>
        <v>1849583573</v>
      </c>
      <c r="U22" s="110"/>
      <c r="V22" s="2"/>
      <c r="W22" s="2"/>
      <c r="X22" s="2"/>
      <c r="Y22" s="2"/>
      <c r="Z22" s="2"/>
    </row>
    <row r="23" spans="1:26" ht="15" customHeight="1" x14ac:dyDescent="0.2">
      <c r="A23" s="24"/>
      <c r="B23" s="111" t="s">
        <v>142</v>
      </c>
      <c r="C23" s="111"/>
      <c r="D23" s="111"/>
      <c r="E23" s="197">
        <f>+T40</f>
        <v>7766.9446369999996</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260192645.33949998</v>
      </c>
      <c r="F24" s="2"/>
      <c r="G24" s="111" t="s">
        <v>144</v>
      </c>
      <c r="H24" s="111"/>
      <c r="I24" s="168">
        <v>7766.9446369999996</v>
      </c>
      <c r="J24" s="168">
        <v>7766.9446369999996</v>
      </c>
      <c r="K24" s="168">
        <v>7766.9446369999996</v>
      </c>
      <c r="L24" s="172">
        <v>0</v>
      </c>
      <c r="M24" s="173">
        <v>0</v>
      </c>
      <c r="N24" s="181">
        <f>+IF(ISERROR(K24+M24-L24),"NA",K24+M24-L24)</f>
        <v>7766.9446369999996</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5796.1905361782747</v>
      </c>
      <c r="J25" s="199">
        <f>+IF(ISERROR(J21/J24),"NA",J21/J24)</f>
        <v>6816.9719850675956</v>
      </c>
      <c r="K25" s="199">
        <f>+IF(ISERROR(K21/K24),"NA",K21/K24)</f>
        <v>6682.490918339734</v>
      </c>
      <c r="L25" s="200" t="str">
        <f>+IF(ISERROR(L21/L24),"NA",L21/L24)</f>
        <v>NA</v>
      </c>
      <c r="M25" s="201" t="str">
        <f>+IF(ISERROR(M21/M24),"NA",M21/M24)</f>
        <v>NA</v>
      </c>
      <c r="N25" s="199" t="str">
        <f>+IF(ISERROR(K25+M25-L25),"NA",K25+M25-L25)</f>
        <v>NA</v>
      </c>
      <c r="O25" s="2"/>
      <c r="P25" s="133" t="s">
        <v>147</v>
      </c>
      <c r="Q25" s="134"/>
      <c r="R25" s="134"/>
      <c r="S25" s="168">
        <v>584674240</v>
      </c>
      <c r="T25" s="168">
        <v>738460722</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2236883024</v>
      </c>
      <c r="T26" s="171">
        <f>T22+SUM(T24:T25)</f>
        <v>2588044295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266785</v>
      </c>
      <c r="F28" s="2"/>
      <c r="G28" s="265" t="s">
        <v>152</v>
      </c>
      <c r="H28" s="263"/>
      <c r="I28" s="263"/>
      <c r="J28" s="263"/>
      <c r="K28" s="263"/>
      <c r="L28" s="263"/>
      <c r="M28" s="263"/>
      <c r="N28" s="263"/>
      <c r="O28" s="2"/>
      <c r="P28" s="111" t="s">
        <v>132</v>
      </c>
      <c r="Q28" s="136"/>
      <c r="R28" s="136"/>
      <c r="S28" s="168">
        <v>134352</v>
      </c>
      <c r="T28" s="168">
        <v>266785</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70548165</v>
      </c>
      <c r="J29" s="204">
        <f t="shared" si="5"/>
        <v>81908683</v>
      </c>
      <c r="K29" s="204">
        <f t="shared" si="5"/>
        <v>87294789</v>
      </c>
      <c r="L29" s="205">
        <f t="shared" si="5"/>
        <v>0</v>
      </c>
      <c r="M29" s="206">
        <f t="shared" si="5"/>
        <v>0</v>
      </c>
      <c r="N29" s="204">
        <f t="shared" si="5"/>
        <v>87294789</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260459430.33949998</v>
      </c>
      <c r="F30" s="207"/>
      <c r="G30" s="111" t="s">
        <v>157</v>
      </c>
      <c r="H30" s="111"/>
      <c r="I30" s="209">
        <v>0</v>
      </c>
      <c r="J30" s="209">
        <v>0</v>
      </c>
      <c r="K30" s="209">
        <v>0</v>
      </c>
      <c r="L30" s="172">
        <v>0</v>
      </c>
      <c r="M30" s="173">
        <v>0</v>
      </c>
      <c r="N30" s="174">
        <f>K30+M30-L30</f>
        <v>0</v>
      </c>
      <c r="O30" s="2"/>
      <c r="P30" s="133" t="s">
        <v>158</v>
      </c>
      <c r="Q30" s="210"/>
      <c r="R30" s="210"/>
      <c r="S30" s="168">
        <v>148504708</v>
      </c>
      <c r="T30" s="168">
        <v>179655005</v>
      </c>
      <c r="U30" s="2"/>
      <c r="V30" s="2"/>
      <c r="W30" s="2"/>
      <c r="X30" s="2"/>
      <c r="Y30" s="2"/>
      <c r="Z30" s="2"/>
    </row>
    <row r="31" spans="1:26" ht="15" customHeight="1" x14ac:dyDescent="0.2">
      <c r="A31" s="24"/>
      <c r="B31" s="2"/>
      <c r="C31" s="2"/>
      <c r="D31" s="2"/>
      <c r="E31" s="2"/>
      <c r="F31" s="207"/>
      <c r="G31" s="122" t="s">
        <v>159</v>
      </c>
      <c r="H31" s="111"/>
      <c r="I31" s="171">
        <f t="shared" ref="I31:N31" si="6">SUM(I29:I30)</f>
        <v>70548165</v>
      </c>
      <c r="J31" s="171">
        <f t="shared" si="6"/>
        <v>81908683</v>
      </c>
      <c r="K31" s="171">
        <f t="shared" si="6"/>
        <v>87294789</v>
      </c>
      <c r="L31" s="177">
        <f t="shared" si="6"/>
        <v>0</v>
      </c>
      <c r="M31" s="178">
        <f t="shared" si="6"/>
        <v>0</v>
      </c>
      <c r="N31" s="171">
        <f t="shared" si="6"/>
        <v>87294789</v>
      </c>
      <c r="O31" s="2"/>
      <c r="P31" s="124" t="s">
        <v>160</v>
      </c>
      <c r="Q31" s="210"/>
      <c r="R31" s="210"/>
      <c r="S31" s="188">
        <f>S26+SUM(S28:S30)</f>
        <v>2385522084</v>
      </c>
      <c r="T31" s="188">
        <f>T26+SUM(T28:T30)</f>
        <v>2767966085</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-45713558</v>
      </c>
      <c r="T32" s="211">
        <f>T17-T31</f>
        <v>-48075812</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50104666</v>
      </c>
      <c r="J34" s="204">
        <f t="shared" si="8"/>
        <v>59362754</v>
      </c>
      <c r="K34" s="204">
        <f t="shared" si="8"/>
        <v>60741865</v>
      </c>
      <c r="L34" s="213">
        <f t="shared" si="8"/>
        <v>0</v>
      </c>
      <c r="M34" s="214">
        <f t="shared" si="8"/>
        <v>0</v>
      </c>
      <c r="N34" s="204">
        <f t="shared" si="8"/>
        <v>60741865</v>
      </c>
      <c r="O34" s="2"/>
      <c r="P34" s="265" t="s">
        <v>167</v>
      </c>
      <c r="Q34" s="263"/>
      <c r="R34" s="263"/>
      <c r="S34" s="263"/>
      <c r="T34" s="263"/>
      <c r="U34" s="110"/>
      <c r="V34" s="2"/>
      <c r="W34" s="2"/>
      <c r="X34" s="2"/>
      <c r="Y34" s="2"/>
      <c r="Z34" s="2"/>
    </row>
    <row r="35" spans="1:26" ht="12.75" customHeight="1" x14ac:dyDescent="0.2">
      <c r="A35" s="24"/>
      <c r="B35" s="111" t="s">
        <v>168</v>
      </c>
      <c r="C35" s="215">
        <f>IF(ISERROR(E30/N10),"NA",E30/N10)</f>
        <v>2.9836767271354536</v>
      </c>
      <c r="D35" s="215">
        <f>IF(ISERROR($E$30/D36),"NA",$E$30/D36)</f>
        <v>2.7455410245651053</v>
      </c>
      <c r="E35" s="215">
        <f>IF(ISERROR($E$30/E36),"NA",$E$30/E36)</f>
        <v>2.5632358501239549</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7766.9446369999996</v>
      </c>
      <c r="U35" s="110"/>
      <c r="V35" s="2"/>
      <c r="W35" s="2"/>
      <c r="X35" s="2"/>
      <c r="Y35" s="2"/>
      <c r="Z35" s="2"/>
    </row>
    <row r="36" spans="1:26" ht="15" customHeight="1" x14ac:dyDescent="0.2">
      <c r="A36" s="24"/>
      <c r="B36" s="111" t="s">
        <v>170</v>
      </c>
      <c r="C36" s="204">
        <f>N10</f>
        <v>87294789</v>
      </c>
      <c r="D36" s="166">
        <v>94866340.735431865</v>
      </c>
      <c r="E36" s="166">
        <v>101613525.0788196</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4.2879722303472239</v>
      </c>
      <c r="D37" s="215">
        <f>IF(ISERROR($E$30/D38),"NA",$E$30/D38)</f>
        <v>3.9457370041281195</v>
      </c>
      <c r="E37" s="215">
        <f>IF(ISERROR($E$30/E38),"NA",$E$30/E38)</f>
        <v>3.6837382700351133</v>
      </c>
      <c r="F37" s="2"/>
      <c r="G37" s="122" t="s">
        <v>174</v>
      </c>
      <c r="H37" s="111"/>
      <c r="I37" s="171">
        <f t="shared" ref="I37:N37" si="10">SUM(I34:I36)</f>
        <v>50104666</v>
      </c>
      <c r="J37" s="171">
        <f t="shared" si="10"/>
        <v>59362754</v>
      </c>
      <c r="K37" s="171">
        <f t="shared" si="10"/>
        <v>60741865</v>
      </c>
      <c r="L37" s="177">
        <f t="shared" si="10"/>
        <v>0</v>
      </c>
      <c r="M37" s="178">
        <f t="shared" si="10"/>
        <v>0</v>
      </c>
      <c r="N37" s="171">
        <f t="shared" si="10"/>
        <v>60741865</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60741865</v>
      </c>
      <c r="D38" s="166">
        <v>66010337.249289908</v>
      </c>
      <c r="E38" s="166">
        <v>70705194.356008708</v>
      </c>
      <c r="F38" s="2"/>
      <c r="G38" s="128" t="s">
        <v>162</v>
      </c>
      <c r="H38" s="128"/>
      <c r="I38" s="189">
        <f t="shared" ref="I38:N38" si="11">IF(ISERROR(I37/I10),"NA",I37/I10)</f>
        <v>0.7102192665110425</v>
      </c>
      <c r="J38" s="189">
        <f t="shared" si="11"/>
        <v>0.72474311423124704</v>
      </c>
      <c r="K38" s="189">
        <f t="shared" si="11"/>
        <v>0.69582463851307319</v>
      </c>
      <c r="L38" s="195" t="str">
        <f t="shared" si="11"/>
        <v>NA</v>
      </c>
      <c r="M38" s="196" t="str">
        <f t="shared" si="11"/>
        <v>NA</v>
      </c>
      <c r="N38" s="189">
        <f t="shared" si="11"/>
        <v>0.69582463851307319</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4.2879722303472239</v>
      </c>
      <c r="D39" s="215">
        <f>IF(ISERROR($E$30/D40),"NA",$E$30/D40)</f>
        <v>3.9457370041281195</v>
      </c>
      <c r="E39" s="215">
        <f>IF(ISERROR($E$30/E40),"NA",$E$30/E40)</f>
        <v>3.6837382700351133</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60741865</v>
      </c>
      <c r="D40" s="166">
        <v>66010337.249289908</v>
      </c>
      <c r="E40" s="166">
        <v>70705194.356008708</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7766.9446369999996</v>
      </c>
      <c r="U40" s="110"/>
      <c r="V40" s="2"/>
      <c r="W40" s="2"/>
      <c r="X40" s="2"/>
      <c r="Y40" s="2"/>
      <c r="Z40" s="2"/>
    </row>
    <row r="41" spans="1:26" ht="12.75" customHeight="1" x14ac:dyDescent="0.2">
      <c r="A41" s="24"/>
      <c r="B41" s="111" t="s">
        <v>181</v>
      </c>
      <c r="C41" s="215">
        <f>IF(ISERROR($E$17/N52),"NA",E17/N52)</f>
        <v>5.0131007148937634</v>
      </c>
      <c r="D41" s="215">
        <f>IF(ISERROR($E$17/D42),"NA",$E$17/D42)</f>
        <v>6.9194769875949449</v>
      </c>
      <c r="E41" s="215">
        <f>IF(ISERROR($E$17/E42),"NA",$E$17/E42)</f>
        <v>6.4600205642603745</v>
      </c>
      <c r="F41" s="2"/>
      <c r="G41" s="122" t="s">
        <v>182</v>
      </c>
      <c r="H41" s="111"/>
      <c r="I41" s="171">
        <f t="shared" ref="I41:N41" si="13">I40+I37</f>
        <v>50104666</v>
      </c>
      <c r="J41" s="171">
        <f t="shared" si="13"/>
        <v>59362754</v>
      </c>
      <c r="K41" s="171">
        <f t="shared" si="13"/>
        <v>60741865</v>
      </c>
      <c r="L41" s="177">
        <f t="shared" si="13"/>
        <v>0</v>
      </c>
      <c r="M41" s="178">
        <f t="shared" si="13"/>
        <v>0</v>
      </c>
      <c r="N41" s="171">
        <f t="shared" si="13"/>
        <v>60741865</v>
      </c>
      <c r="O41" s="2"/>
      <c r="P41" s="111"/>
      <c r="Q41" s="111"/>
      <c r="R41" s="111"/>
      <c r="S41" s="111"/>
      <c r="T41" s="111"/>
      <c r="U41" s="110"/>
      <c r="V41" s="2"/>
      <c r="W41" s="2"/>
      <c r="X41" s="2"/>
      <c r="Y41" s="2"/>
      <c r="Z41" s="2"/>
    </row>
    <row r="42" spans="1:26" ht="15" customHeight="1" x14ac:dyDescent="0.2">
      <c r="A42" s="24"/>
      <c r="B42" s="111" t="s">
        <v>170</v>
      </c>
      <c r="C42" s="199">
        <f>N52</f>
        <v>6682.490918339734</v>
      </c>
      <c r="D42" s="187">
        <v>4841.4063750855612</v>
      </c>
      <c r="E42" s="187">
        <v>5185.7420060450704</v>
      </c>
      <c r="F42" s="2"/>
      <c r="G42" s="128" t="s">
        <v>162</v>
      </c>
      <c r="H42" s="128"/>
      <c r="I42" s="189">
        <f t="shared" ref="I42:N42" si="14">IF(ISERROR(I41/I10),"NA",I41/I10)</f>
        <v>0.7102192665110425</v>
      </c>
      <c r="J42" s="189">
        <f t="shared" si="14"/>
        <v>0.72474311423124704</v>
      </c>
      <c r="K42" s="189">
        <f t="shared" si="14"/>
        <v>0.69582463851307319</v>
      </c>
      <c r="L42" s="195" t="str">
        <f t="shared" si="14"/>
        <v>NA</v>
      </c>
      <c r="M42" s="196" t="str">
        <f t="shared" si="14"/>
        <v>NA</v>
      </c>
      <c r="N42" s="189">
        <f t="shared" si="14"/>
        <v>0.69582463851307319</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45018691</v>
      </c>
      <c r="J44" s="204">
        <f t="shared" si="15"/>
        <v>52947044</v>
      </c>
      <c r="K44" s="204">
        <f t="shared" si="15"/>
        <v>51902537</v>
      </c>
      <c r="L44" s="213">
        <f t="shared" si="15"/>
        <v>0</v>
      </c>
      <c r="M44" s="214">
        <f t="shared" si="15"/>
        <v>0</v>
      </c>
      <c r="N44" s="204">
        <f t="shared" si="15"/>
        <v>51902537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0.37019696564641985</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0.31632485612272582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2.0516057995490968E-2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45018691</v>
      </c>
      <c r="J49" s="188">
        <f t="shared" si="19"/>
        <v>52947044</v>
      </c>
      <c r="K49" s="188">
        <f t="shared" si="19"/>
        <v>51902537</v>
      </c>
      <c r="L49" s="193">
        <f t="shared" si="19"/>
        <v>0</v>
      </c>
      <c r="M49" s="194">
        <f t="shared" si="19"/>
        <v>0</v>
      </c>
      <c r="N49" s="188">
        <f t="shared" si="19"/>
        <v>51902537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0.6381270299518067</v>
      </c>
      <c r="J50" s="189">
        <f t="shared" si="20"/>
        <v>0.64641552105043609</v>
      </c>
      <c r="K50" s="189">
        <f t="shared" si="20"/>
        <v>0.59456626901291898</v>
      </c>
      <c r="L50" s="195" t="str">
        <f t="shared" si="20"/>
        <v>NA</v>
      </c>
      <c r="M50" s="196" t="str">
        <f t="shared" si="20"/>
        <v>NA</v>
      </c>
      <c r="N50" s="189">
        <f t="shared" si="20"/>
        <v>0.59456626901291898</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5796.1905361782747</v>
      </c>
      <c r="J52" s="199">
        <f t="shared" si="21"/>
        <v>6816.9719850675956</v>
      </c>
      <c r="K52" s="199">
        <f t="shared" si="21"/>
        <v>6682.490918339734</v>
      </c>
      <c r="L52" s="200">
        <f t="shared" si="21"/>
        <v>0</v>
      </c>
      <c r="M52" s="201">
        <f t="shared" si="21"/>
        <v>0</v>
      </c>
      <c r="N52" s="199">
        <f t="shared" si="21"/>
        <v>6682.490918339734</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804101</v>
      </c>
      <c r="J58" s="168">
        <v>1362079</v>
      </c>
      <c r="K58" s="168">
        <v>2004950</v>
      </c>
      <c r="L58" s="172">
        <v>0</v>
      </c>
      <c r="M58" s="173">
        <v>0</v>
      </c>
      <c r="N58" s="181">
        <f>K58+M58-L58</f>
        <v>2004950</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1.1397900994306515E-2</v>
      </c>
      <c r="J59" s="241">
        <f t="shared" si="23"/>
        <v>1.662923819688323E-2</v>
      </c>
      <c r="K59" s="241">
        <f t="shared" si="23"/>
        <v>2.2967579427908349E-2</v>
      </c>
      <c r="L59" s="244" t="str">
        <f t="shared" si="23"/>
        <v>NA</v>
      </c>
      <c r="M59" s="245" t="str">
        <f t="shared" si="23"/>
        <v>NA</v>
      </c>
      <c r="N59" s="241">
        <f t="shared" si="23"/>
        <v>2.2967579427908349E-2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6.5757448450245448E-2</v>
      </c>
      <c r="D61" s="189">
        <f>IF(ISERROR(K41/J41-1),0,K41/J41-1)</f>
        <v>2.32319241792589E-2</v>
      </c>
      <c r="E61" s="189">
        <f>IF(ISERROR(K52/J52-1),0,K52/J52-1)</f>
        <v>-1.972739025808512E-2</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0.1123752024044633</v>
      </c>
      <c r="D62" s="189">
        <f>IF(ISERROR((K41/I41)^(1/2)-1),0,(K41/I41)^(1/2)-1)</f>
        <v>0.10104476251698435</v>
      </c>
      <c r="E62" s="189">
        <f>IF(ISERROR((K52/I52)^(1/2)-1),0,(K52/I52)^(1/2)-1)</f>
        <v>7.3736859378187303E-2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8.6735437729643428E-2</v>
      </c>
      <c r="D64" s="189">
        <f>IF(ISERROR(D38/K41-1),0,D38/K41-1)</f>
        <v>8.6735437729643428E-2</v>
      </c>
      <c r="E64" s="189">
        <f>IF(ISERROR(D42/K52-1),0,D42/K52-1)</f>
        <v>-0.275508723581115</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7.8901008581249377E-2</v>
      </c>
      <c r="D65" s="189">
        <f>IF(ISERROR((E38/K41)^(1/2)-1),0,(E38/K41)^(1/2)-1)</f>
        <v>7.8901008581248933E-2</v>
      </c>
      <c r="E65" s="189">
        <f>IF(ISERROR((E42/K52)^(1/2)-1),0,(E42/K52)^(1/2)-1)</f>
        <v>-0.11908041673946468</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7.1123058938307657E-2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Ngân hàng Thương mại Cổ phần Quân đội (HOSE:MBB)</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0</v>
      </c>
      <c r="T8" s="166">
        <v>0</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765047985</v>
      </c>
      <c r="T9" s="168">
        <v>1070868777</v>
      </c>
      <c r="U9" s="110"/>
      <c r="V9" s="2"/>
      <c r="W9" s="2"/>
      <c r="X9" s="2"/>
      <c r="Y9" s="2"/>
      <c r="Z9" s="2"/>
    </row>
    <row r="10" spans="1:26" ht="15" customHeight="1" x14ac:dyDescent="0.2">
      <c r="A10" s="24"/>
      <c r="B10" s="111" t="s">
        <v>107</v>
      </c>
      <c r="C10" s="111"/>
      <c r="D10" s="121"/>
      <c r="E10" s="150">
        <v>46022</v>
      </c>
      <c r="F10" s="2"/>
      <c r="G10" s="122" t="s">
        <v>23</v>
      </c>
      <c r="H10" s="122"/>
      <c r="I10" s="166">
        <v>47306062</v>
      </c>
      <c r="J10" s="166">
        <v>55413222</v>
      </c>
      <c r="K10" s="166">
        <v>67693015</v>
      </c>
      <c r="L10" s="169">
        <v>0</v>
      </c>
      <c r="M10" s="170">
        <v>0</v>
      </c>
      <c r="N10" s="171">
        <f>K10+M10-L10</f>
        <v>67693015</v>
      </c>
      <c r="O10" s="2"/>
      <c r="P10" s="111" t="s">
        <v>108</v>
      </c>
      <c r="Q10" s="123"/>
      <c r="R10" s="123"/>
      <c r="S10" s="168">
        <v>0</v>
      </c>
      <c r="T10" s="168">
        <v>0</v>
      </c>
      <c r="U10" s="110"/>
      <c r="V10" s="2"/>
      <c r="W10" s="2"/>
      <c r="X10" s="2"/>
      <c r="Y10" s="2"/>
      <c r="Z10" s="2"/>
    </row>
    <row r="11" spans="1:26" ht="15" customHeight="1" x14ac:dyDescent="0.2">
      <c r="A11" s="24"/>
      <c r="B11" s="111" t="s">
        <v>109</v>
      </c>
      <c r="C11" s="111"/>
      <c r="D11" s="117"/>
      <c r="E11" s="149" t="s">
        <v>110</v>
      </c>
      <c r="F11" s="2"/>
      <c r="G11" s="111" t="s">
        <v>111</v>
      </c>
      <c r="H11" s="111"/>
      <c r="I11" s="168">
        <v>0</v>
      </c>
      <c r="J11" s="168">
        <v>0</v>
      </c>
      <c r="K11" s="168">
        <v>0</v>
      </c>
      <c r="L11" s="172">
        <v>0</v>
      </c>
      <c r="M11" s="173">
        <v>0</v>
      </c>
      <c r="N11" s="174">
        <f>K11+M11-L11</f>
        <v>0</v>
      </c>
      <c r="O11" s="175"/>
      <c r="P11" s="111" t="s">
        <v>112</v>
      </c>
      <c r="Q11" s="176"/>
      <c r="R11" s="176"/>
      <c r="S11" s="168">
        <v>209637377</v>
      </c>
      <c r="T11" s="168">
        <v>225574850</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47306062</v>
      </c>
      <c r="J12" s="171">
        <f t="shared" si="0"/>
        <v>55413222</v>
      </c>
      <c r="K12" s="171">
        <f t="shared" si="0"/>
        <v>67693015</v>
      </c>
      <c r="L12" s="177">
        <f t="shared" si="0"/>
        <v>0</v>
      </c>
      <c r="M12" s="178">
        <f t="shared" si="0"/>
        <v>0</v>
      </c>
      <c r="N12" s="171">
        <f t="shared" si="0"/>
        <v>67693015</v>
      </c>
      <c r="O12" s="2"/>
      <c r="P12" s="124" t="s">
        <v>115</v>
      </c>
      <c r="Q12" s="120"/>
      <c r="R12" s="120"/>
      <c r="S12" s="171">
        <f>SUM(S8:S11)</f>
        <v>974685362</v>
      </c>
      <c r="T12" s="171">
        <f>SUM(T8:T11)</f>
        <v>1296443627</v>
      </c>
      <c r="U12" s="110"/>
      <c r="V12" s="2"/>
      <c r="W12" s="2"/>
      <c r="X12" s="2"/>
      <c r="Y12" s="2"/>
      <c r="Z12" s="2"/>
    </row>
    <row r="13" spans="1:26" ht="12.75" customHeight="1" x14ac:dyDescent="0.2">
      <c r="A13" s="24"/>
      <c r="B13" s="111" t="s">
        <v>116</v>
      </c>
      <c r="C13" s="111"/>
      <c r="D13" s="179"/>
      <c r="E13" s="180">
        <v>1</v>
      </c>
      <c r="F13" s="2"/>
      <c r="G13" s="111" t="s">
        <v>117</v>
      </c>
      <c r="H13" s="125"/>
      <c r="I13" s="168">
        <v>-14912941</v>
      </c>
      <c r="J13" s="168">
        <v>-17007250</v>
      </c>
      <c r="K13" s="168">
        <v>-19681153</v>
      </c>
      <c r="L13" s="172">
        <v>0</v>
      </c>
      <c r="M13" s="173">
        <v>0</v>
      </c>
      <c r="N13" s="181">
        <f>K13+M13-L13</f>
        <v>-19681153</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29825882</v>
      </c>
      <c r="J14" s="183">
        <v>34014500</v>
      </c>
      <c r="K14" s="183">
        <v>39362306</v>
      </c>
      <c r="L14" s="184">
        <v>0</v>
      </c>
      <c r="M14" s="185">
        <v>0</v>
      </c>
      <c r="N14" s="186">
        <f>K14+M14-L14</f>
        <v>39362306</v>
      </c>
      <c r="O14" s="2"/>
      <c r="P14" s="111" t="s">
        <v>120</v>
      </c>
      <c r="Q14" s="123"/>
      <c r="R14" s="123"/>
      <c r="S14" s="168">
        <v>5430416</v>
      </c>
      <c r="T14" s="168">
        <v>5616547</v>
      </c>
      <c r="U14" s="110"/>
      <c r="V14" s="2"/>
      <c r="W14" s="2"/>
      <c r="X14" s="2"/>
      <c r="Y14" s="2"/>
      <c r="Z14" s="2"/>
    </row>
    <row r="15" spans="1:26" ht="12.75" customHeight="1" x14ac:dyDescent="0.2">
      <c r="A15" s="24"/>
      <c r="B15" s="2"/>
      <c r="C15" s="2"/>
      <c r="D15" s="2"/>
      <c r="E15" s="2"/>
      <c r="F15" s="2"/>
      <c r="G15" s="122" t="s">
        <v>121</v>
      </c>
      <c r="H15" s="125"/>
      <c r="I15" s="171">
        <f t="shared" ref="I15:N15" si="1">I12-SUM(I13:I14)</f>
        <v>32393121</v>
      </c>
      <c r="J15" s="171">
        <f t="shared" si="1"/>
        <v>38405972</v>
      </c>
      <c r="K15" s="171">
        <f t="shared" si="1"/>
        <v>48011862</v>
      </c>
      <c r="L15" s="177">
        <f t="shared" si="1"/>
        <v>0</v>
      </c>
      <c r="M15" s="178">
        <f t="shared" si="1"/>
        <v>0</v>
      </c>
      <c r="N15" s="171">
        <f t="shared" si="1"/>
        <v>48011862</v>
      </c>
      <c r="O15" s="2"/>
      <c r="P15" s="111" t="s">
        <v>122</v>
      </c>
      <c r="Q15" s="120"/>
      <c r="R15" s="120"/>
      <c r="S15" s="168">
        <v>1689243</v>
      </c>
      <c r="T15" s="168">
        <v>1811014</v>
      </c>
      <c r="U15" s="110"/>
      <c r="V15" s="2"/>
      <c r="W15" s="2"/>
      <c r="X15" s="2"/>
      <c r="Y15" s="2"/>
      <c r="Z15" s="2"/>
    </row>
    <row r="16" spans="1:26" ht="15" customHeight="1" x14ac:dyDescent="0.2">
      <c r="A16" s="24"/>
      <c r="B16" s="265" t="s">
        <v>123</v>
      </c>
      <c r="C16" s="263"/>
      <c r="D16" s="263"/>
      <c r="E16" s="263"/>
      <c r="F16" s="2"/>
      <c r="G16" s="111" t="s">
        <v>124</v>
      </c>
      <c r="H16" s="125"/>
      <c r="I16" s="168">
        <v>0</v>
      </c>
      <c r="J16" s="168">
        <v>0</v>
      </c>
      <c r="K16" s="168">
        <v>0</v>
      </c>
      <c r="L16" s="172">
        <v>0</v>
      </c>
      <c r="M16" s="173">
        <v>0</v>
      </c>
      <c r="N16" s="174">
        <f>K16+M16-L16</f>
        <v>0</v>
      </c>
      <c r="O16" s="2"/>
      <c r="P16" s="111" t="s">
        <v>125</v>
      </c>
      <c r="Q16" s="123"/>
      <c r="R16" s="123"/>
      <c r="S16" s="168">
        <v>113821622</v>
      </c>
      <c r="T16" s="168">
        <v>238432527</v>
      </c>
      <c r="U16" s="110"/>
      <c r="V16" s="2"/>
      <c r="W16" s="2"/>
      <c r="X16" s="2"/>
      <c r="Y16" s="2"/>
      <c r="Z16" s="2"/>
    </row>
    <row r="17" spans="1:26" ht="15" customHeight="1" x14ac:dyDescent="0.2">
      <c r="A17" s="24"/>
      <c r="B17" s="111" t="s">
        <v>126</v>
      </c>
      <c r="C17" s="111"/>
      <c r="D17" s="126">
        <v>0</v>
      </c>
      <c r="E17" s="187">
        <v>24700</v>
      </c>
      <c r="F17" s="2"/>
      <c r="G17" s="122" t="s">
        <v>127</v>
      </c>
      <c r="H17" s="111"/>
      <c r="I17" s="171">
        <f t="shared" ref="I17:N17" si="2">I15-SUM(I16)</f>
        <v>32393121</v>
      </c>
      <c r="J17" s="171">
        <f t="shared" si="2"/>
        <v>38405972</v>
      </c>
      <c r="K17" s="171">
        <f t="shared" si="2"/>
        <v>48011862</v>
      </c>
      <c r="L17" s="177">
        <f t="shared" si="2"/>
        <v>0</v>
      </c>
      <c r="M17" s="178">
        <f t="shared" si="2"/>
        <v>0</v>
      </c>
      <c r="N17" s="171">
        <f t="shared" si="2"/>
        <v>48011862</v>
      </c>
      <c r="O17" s="2"/>
      <c r="P17" s="124" t="s">
        <v>128</v>
      </c>
      <c r="Q17" s="120"/>
      <c r="R17" s="120"/>
      <c r="S17" s="188">
        <f>SUM(S12:S16)</f>
        <v>1095626643</v>
      </c>
      <c r="T17" s="188">
        <f>SUM(T12:T16)</f>
        <v>1542303715</v>
      </c>
      <c r="U17" s="110"/>
      <c r="V17" s="2"/>
      <c r="W17" s="2"/>
      <c r="X17" s="2"/>
      <c r="Y17" s="2"/>
      <c r="Z17" s="2"/>
    </row>
    <row r="18" spans="1:26" ht="12.75" customHeight="1" x14ac:dyDescent="0.2">
      <c r="A18" s="127"/>
      <c r="B18" s="128" t="s">
        <v>129</v>
      </c>
      <c r="C18" s="128"/>
      <c r="D18" s="129"/>
      <c r="E18" s="189">
        <f>+IF(ISERROR(E17/E19),"NA",E17/E19)</f>
        <v>0.83728813559322035</v>
      </c>
      <c r="F18" s="2"/>
      <c r="G18" s="111" t="s">
        <v>130</v>
      </c>
      <c r="H18" s="111"/>
      <c r="I18" s="168">
        <v>5252297</v>
      </c>
      <c r="J18" s="168">
        <v>5878064</v>
      </c>
      <c r="K18" s="168">
        <v>6885380</v>
      </c>
      <c r="L18" s="172">
        <v>0</v>
      </c>
      <c r="M18" s="173">
        <v>0</v>
      </c>
      <c r="N18" s="181">
        <f>K18+M18-L18</f>
        <v>6885380</v>
      </c>
      <c r="O18" s="2"/>
      <c r="P18" s="111"/>
      <c r="Q18" s="111"/>
      <c r="R18" s="111"/>
      <c r="S18" s="111"/>
      <c r="T18" s="111"/>
      <c r="U18" s="110"/>
      <c r="V18" s="2"/>
      <c r="W18" s="2"/>
      <c r="X18" s="2"/>
      <c r="Y18" s="2"/>
      <c r="Z18" s="2"/>
    </row>
    <row r="19" spans="1:26" ht="15" customHeight="1" x14ac:dyDescent="0.2">
      <c r="A19" s="24"/>
      <c r="B19" s="111" t="s">
        <v>131</v>
      </c>
      <c r="C19" s="111"/>
      <c r="D19" s="190">
        <v>0</v>
      </c>
      <c r="E19" s="191">
        <v>29500</v>
      </c>
      <c r="F19" s="2"/>
      <c r="G19" s="111" t="s">
        <v>132</v>
      </c>
      <c r="H19" s="111"/>
      <c r="I19" s="183">
        <v>377004</v>
      </c>
      <c r="J19" s="183">
        <v>317507</v>
      </c>
      <c r="K19" s="183">
        <v>604039</v>
      </c>
      <c r="L19" s="184">
        <v>0</v>
      </c>
      <c r="M19" s="185">
        <v>0</v>
      </c>
      <c r="N19" s="192">
        <f>K19+M19-L19</f>
        <v>604039</v>
      </c>
      <c r="O19" s="2"/>
      <c r="P19" s="111" t="s">
        <v>133</v>
      </c>
      <c r="Q19" s="123"/>
      <c r="R19" s="123"/>
      <c r="S19" s="168">
        <v>714154479</v>
      </c>
      <c r="T19" s="168">
        <v>921368132</v>
      </c>
      <c r="U19" s="110"/>
      <c r="V19" s="2"/>
      <c r="W19" s="2"/>
      <c r="X19" s="2"/>
      <c r="Y19" s="2"/>
      <c r="Z19" s="2"/>
    </row>
    <row r="20" spans="1:26" ht="15" customHeight="1" x14ac:dyDescent="0.2">
      <c r="A20" s="24"/>
      <c r="B20" s="111" t="s">
        <v>134</v>
      </c>
      <c r="C20" s="111"/>
      <c r="D20" s="190">
        <v>0</v>
      </c>
      <c r="E20" s="191">
        <v>18127</v>
      </c>
      <c r="F20" s="2"/>
      <c r="G20" s="111" t="s">
        <v>135</v>
      </c>
      <c r="H20" s="111"/>
      <c r="I20" s="183">
        <v>0</v>
      </c>
      <c r="J20" s="183">
        <v>0</v>
      </c>
      <c r="K20" s="183">
        <v>0</v>
      </c>
      <c r="L20" s="184">
        <v>0</v>
      </c>
      <c r="M20" s="185">
        <v>0</v>
      </c>
      <c r="N20" s="186">
        <f>K20+M20-L20</f>
        <v>0</v>
      </c>
      <c r="O20" s="2"/>
      <c r="P20" s="111" t="s">
        <v>136</v>
      </c>
      <c r="Q20" s="176"/>
      <c r="R20" s="176"/>
      <c r="S20" s="168">
        <v>47312101</v>
      </c>
      <c r="T20" s="168">
        <v>65033537</v>
      </c>
      <c r="U20" s="110"/>
      <c r="V20" s="2"/>
      <c r="W20" s="2"/>
      <c r="X20" s="2"/>
      <c r="Y20" s="2"/>
      <c r="Z20" s="2"/>
    </row>
    <row r="21" spans="1:26" ht="15" customHeight="1" x14ac:dyDescent="0.2">
      <c r="A21" s="24"/>
      <c r="B21" s="111" t="s">
        <v>137</v>
      </c>
      <c r="C21" s="111"/>
      <c r="D21" s="111"/>
      <c r="E21" s="191">
        <v>500</v>
      </c>
      <c r="F21" s="2"/>
      <c r="G21" s="122" t="s">
        <v>138</v>
      </c>
      <c r="H21" s="111"/>
      <c r="I21" s="188">
        <f t="shared" ref="I21:N21" si="3">I17-SUM(I18:I20)</f>
        <v>26763820</v>
      </c>
      <c r="J21" s="188">
        <f t="shared" si="3"/>
        <v>32210401</v>
      </c>
      <c r="K21" s="188">
        <f t="shared" si="3"/>
        <v>40522443</v>
      </c>
      <c r="L21" s="193">
        <f t="shared" si="3"/>
        <v>0</v>
      </c>
      <c r="M21" s="194">
        <f t="shared" si="3"/>
        <v>0</v>
      </c>
      <c r="N21" s="188">
        <f t="shared" si="3"/>
        <v>40522443</v>
      </c>
      <c r="O21" s="2"/>
      <c r="P21" s="111" t="s">
        <v>139</v>
      </c>
      <c r="Q21" s="120"/>
      <c r="R21" s="120"/>
      <c r="S21" s="168">
        <v>0</v>
      </c>
      <c r="T21" s="168">
        <v>0</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0.16214235732333418</v>
      </c>
      <c r="J22" s="189">
        <f t="shared" si="4"/>
        <v>0.15305078074836903</v>
      </c>
      <c r="K22" s="189">
        <f t="shared" si="4"/>
        <v>0.14340997647622997</v>
      </c>
      <c r="L22" s="195" t="str">
        <f t="shared" si="4"/>
        <v>NA</v>
      </c>
      <c r="M22" s="196" t="str">
        <f t="shared" si="4"/>
        <v>NA</v>
      </c>
      <c r="N22" s="189">
        <f t="shared" si="4"/>
        <v>0.14340997647622997</v>
      </c>
      <c r="O22" s="2"/>
      <c r="P22" s="124" t="s">
        <v>141</v>
      </c>
      <c r="Q22" s="123"/>
      <c r="R22" s="123"/>
      <c r="S22" s="171">
        <f>SUM(S19:S21)</f>
        <v>761466580</v>
      </c>
      <c r="T22" s="171">
        <f>SUM(T19:T21)</f>
        <v>986401669</v>
      </c>
      <c r="U22" s="110"/>
      <c r="V22" s="2"/>
      <c r="W22" s="2"/>
      <c r="X22" s="2"/>
      <c r="Y22" s="2"/>
      <c r="Z22" s="2"/>
    </row>
    <row r="23" spans="1:26" ht="15" customHeight="1" x14ac:dyDescent="0.2">
      <c r="A23" s="24"/>
      <c r="B23" s="111" t="s">
        <v>142</v>
      </c>
      <c r="C23" s="111"/>
      <c r="D23" s="111"/>
      <c r="E23" s="197">
        <f>+T40</f>
        <v>8054.9999090000001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198958497.75229999</v>
      </c>
      <c r="F24" s="2"/>
      <c r="G24" s="111" t="s">
        <v>144</v>
      </c>
      <c r="H24" s="111"/>
      <c r="I24" s="168">
        <v>8054.9999090000001</v>
      </c>
      <c r="J24" s="168">
        <v>8054.9999090000001</v>
      </c>
      <c r="K24" s="168">
        <v>8054.9999090000001</v>
      </c>
      <c r="L24" s="172">
        <v>0</v>
      </c>
      <c r="M24" s="173">
        <v>0</v>
      </c>
      <c r="N24" s="181">
        <f>+IF(ISERROR(K24+M24-L24),"NA",K24+M24-L24)</f>
        <v>8054.9999090000001</v>
      </c>
      <c r="O24" s="2"/>
      <c r="P24" s="133" t="s">
        <v>145</v>
      </c>
      <c r="Q24" s="120"/>
      <c r="R24" s="120"/>
      <c r="S24" s="168">
        <v>0</v>
      </c>
      <c r="T24" s="168">
        <v>0</v>
      </c>
      <c r="U24" s="110"/>
      <c r="V24" s="2"/>
      <c r="W24" s="2"/>
      <c r="X24" s="2"/>
      <c r="Y24" s="2"/>
      <c r="Z24" s="2"/>
    </row>
    <row r="25" spans="1:26" ht="15" customHeight="1" x14ac:dyDescent="0.2">
      <c r="A25" s="24"/>
      <c r="B25" s="111"/>
      <c r="C25" s="111"/>
      <c r="D25" s="111"/>
      <c r="E25" s="111"/>
      <c r="F25" s="2"/>
      <c r="G25" s="111" t="s">
        <v>146</v>
      </c>
      <c r="H25" s="111"/>
      <c r="I25" s="199">
        <f>IF(ISERROR(I21/I24),"NA",I21/I24)</f>
        <v>3322.6344261154231</v>
      </c>
      <c r="J25" s="199">
        <f>+IF(ISERROR(J21/J24),"NA",J21/J24)</f>
        <v>3998.8083629908829</v>
      </c>
      <c r="K25" s="199">
        <f>+IF(ISERROR(K21/K24),"NA",K21/K24)</f>
        <v>5030.7192374668466</v>
      </c>
      <c r="L25" s="200" t="str">
        <f>+IF(ISERROR(L21/L24),"NA",L21/L24)</f>
        <v>NA</v>
      </c>
      <c r="M25" s="201" t="str">
        <f>+IF(ISERROR(M21/M24),"NA",M21/M24)</f>
        <v>NA</v>
      </c>
      <c r="N25" s="199" t="str">
        <f>+IF(ISERROR(K25+M25-L25),"NA",K25+M25-L25)</f>
        <v>NA</v>
      </c>
      <c r="O25" s="2"/>
      <c r="P25" s="133" t="s">
        <v>147</v>
      </c>
      <c r="Q25" s="134"/>
      <c r="R25" s="134"/>
      <c r="S25" s="168">
        <v>250274901</v>
      </c>
      <c r="T25" s="168">
        <v>487339733</v>
      </c>
      <c r="U25" s="110"/>
      <c r="V25" s="2"/>
      <c r="W25" s="2"/>
      <c r="X25" s="2"/>
      <c r="Y25" s="2"/>
      <c r="Z25" s="2"/>
    </row>
    <row r="26" spans="1:26" ht="12.75" customHeight="1" x14ac:dyDescent="0.2">
      <c r="A26" s="24"/>
      <c r="B26" s="111" t="s">
        <v>148</v>
      </c>
      <c r="C26" s="111"/>
      <c r="D26" s="111"/>
      <c r="E26" s="202">
        <f>+T24</f>
        <v>0</v>
      </c>
      <c r="F26" s="2"/>
      <c r="G26" s="2"/>
      <c r="H26" s="2"/>
      <c r="I26" s="2"/>
      <c r="J26" s="2"/>
      <c r="K26" s="2"/>
      <c r="L26" s="2"/>
      <c r="M26" s="2"/>
      <c r="N26" s="2"/>
      <c r="O26" s="2"/>
      <c r="P26" s="124" t="s">
        <v>149</v>
      </c>
      <c r="Q26" s="111"/>
      <c r="R26" s="111"/>
      <c r="S26" s="171">
        <f>S22+SUM(S24:S25)</f>
        <v>1011741481</v>
      </c>
      <c r="T26" s="171">
        <f>T22+SUM(T24:T25)</f>
        <v>1473741402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604039</v>
      </c>
      <c r="F28" s="2"/>
      <c r="G28" s="265" t="s">
        <v>152</v>
      </c>
      <c r="H28" s="263"/>
      <c r="I28" s="263"/>
      <c r="J28" s="263"/>
      <c r="K28" s="263"/>
      <c r="L28" s="263"/>
      <c r="M28" s="263"/>
      <c r="N28" s="263"/>
      <c r="O28" s="2"/>
      <c r="P28" s="111" t="s">
        <v>132</v>
      </c>
      <c r="Q28" s="136"/>
      <c r="R28" s="136"/>
      <c r="S28" s="168">
        <v>317507</v>
      </c>
      <c r="T28" s="168">
        <v>604039</v>
      </c>
      <c r="U28" s="110"/>
      <c r="V28" s="2"/>
      <c r="W28" s="2"/>
      <c r="X28" s="2"/>
      <c r="Y28" s="2"/>
      <c r="Z28" s="2"/>
    </row>
    <row r="29" spans="1:26" ht="15" customHeight="1" x14ac:dyDescent="0.2">
      <c r="A29" s="24"/>
      <c r="B29" s="111" t="s">
        <v>153</v>
      </c>
      <c r="C29" s="111"/>
      <c r="D29" s="111"/>
      <c r="E29" s="203">
        <f>-T8</f>
        <v>0</v>
      </c>
      <c r="F29" s="2"/>
      <c r="G29" s="111" t="s">
        <v>154</v>
      </c>
      <c r="H29" s="111"/>
      <c r="I29" s="204">
        <f t="shared" ref="I29:N29" si="5">I12</f>
        <v>47306062</v>
      </c>
      <c r="J29" s="204">
        <f t="shared" si="5"/>
        <v>55413222</v>
      </c>
      <c r="K29" s="204">
        <f t="shared" si="5"/>
        <v>67693015</v>
      </c>
      <c r="L29" s="205">
        <f t="shared" si="5"/>
        <v>0</v>
      </c>
      <c r="M29" s="206">
        <f t="shared" si="5"/>
        <v>0</v>
      </c>
      <c r="N29" s="204">
        <f t="shared" si="5"/>
        <v>67693015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199562536.75229999</v>
      </c>
      <c r="F30" s="207"/>
      <c r="G30" s="111" t="s">
        <v>157</v>
      </c>
      <c r="H30" s="111"/>
      <c r="I30" s="209">
        <v>0</v>
      </c>
      <c r="J30" s="209">
        <v>0</v>
      </c>
      <c r="K30" s="209">
        <v>0</v>
      </c>
      <c r="L30" s="172">
        <v>0</v>
      </c>
      <c r="M30" s="173">
        <v>0</v>
      </c>
      <c r="N30" s="174">
        <f>K30+M30-L30</f>
        <v>0</v>
      </c>
      <c r="O30" s="2"/>
      <c r="P30" s="133" t="s">
        <v>158</v>
      </c>
      <c r="Q30" s="210"/>
      <c r="R30" s="210"/>
      <c r="S30" s="168">
        <v>117059581</v>
      </c>
      <c r="T30" s="168">
        <v>142022525</v>
      </c>
      <c r="U30" s="2"/>
      <c r="V30" s="2"/>
      <c r="W30" s="2"/>
      <c r="X30" s="2"/>
      <c r="Y30" s="2"/>
      <c r="Z30" s="2"/>
    </row>
    <row r="31" spans="1:26" ht="15" customHeight="1" x14ac:dyDescent="0.2">
      <c r="A31" s="24"/>
      <c r="B31" s="2"/>
      <c r="C31" s="2"/>
      <c r="D31" s="2"/>
      <c r="E31" s="2"/>
      <c r="F31" s="207"/>
      <c r="G31" s="122" t="s">
        <v>159</v>
      </c>
      <c r="H31" s="111"/>
      <c r="I31" s="171">
        <f t="shared" ref="I31:N31" si="6">SUM(I29:I30)</f>
        <v>47306062</v>
      </c>
      <c r="J31" s="171">
        <f t="shared" si="6"/>
        <v>55413222</v>
      </c>
      <c r="K31" s="171">
        <f t="shared" si="6"/>
        <v>67693015</v>
      </c>
      <c r="L31" s="177">
        <f t="shared" si="6"/>
        <v>0</v>
      </c>
      <c r="M31" s="178">
        <f t="shared" si="6"/>
        <v>0</v>
      </c>
      <c r="N31" s="171">
        <f t="shared" si="6"/>
        <v>67693015</v>
      </c>
      <c r="O31" s="2"/>
      <c r="P31" s="124" t="s">
        <v>160</v>
      </c>
      <c r="Q31" s="210"/>
      <c r="R31" s="210"/>
      <c r="S31" s="188">
        <f>S26+SUM(S28:S30)</f>
        <v>1129118569</v>
      </c>
      <c r="T31" s="188">
        <f>T26+SUM(T28:T30)</f>
        <v>1616367966</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1</v>
      </c>
      <c r="J32" s="189">
        <f t="shared" si="7"/>
        <v>1</v>
      </c>
      <c r="K32" s="189">
        <f t="shared" si="7"/>
        <v>1</v>
      </c>
      <c r="L32" s="195" t="str">
        <f t="shared" si="7"/>
        <v>NA</v>
      </c>
      <c r="M32" s="196" t="str">
        <f t="shared" si="7"/>
        <v>NA</v>
      </c>
      <c r="N32" s="189">
        <f t="shared" si="7"/>
        <v>1</v>
      </c>
      <c r="O32" s="2"/>
      <c r="P32" s="128" t="s">
        <v>163</v>
      </c>
      <c r="Q32" s="137"/>
      <c r="R32" s="137"/>
      <c r="S32" s="211">
        <f>S17-S31</f>
        <v>-33491926</v>
      </c>
      <c r="T32" s="211">
        <f>T17-T31</f>
        <v>-74064251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32393121</v>
      </c>
      <c r="J34" s="204">
        <f t="shared" si="8"/>
        <v>38405972</v>
      </c>
      <c r="K34" s="204">
        <f t="shared" si="8"/>
        <v>48011862</v>
      </c>
      <c r="L34" s="213">
        <f t="shared" si="8"/>
        <v>0</v>
      </c>
      <c r="M34" s="214">
        <f t="shared" si="8"/>
        <v>0</v>
      </c>
      <c r="N34" s="204">
        <f t="shared" si="8"/>
        <v>48011862</v>
      </c>
      <c r="O34" s="2"/>
      <c r="P34" s="265" t="s">
        <v>167</v>
      </c>
      <c r="Q34" s="263"/>
      <c r="R34" s="263"/>
      <c r="S34" s="263"/>
      <c r="T34" s="263"/>
      <c r="U34" s="110"/>
      <c r="V34" s="2"/>
      <c r="W34" s="2"/>
      <c r="X34" s="2"/>
      <c r="Y34" s="2"/>
      <c r="Z34" s="2"/>
    </row>
    <row r="35" spans="1:26" ht="12.75" customHeight="1" x14ac:dyDescent="0.2">
      <c r="A35" s="24"/>
      <c r="B35" s="111" t="s">
        <v>168</v>
      </c>
      <c r="C35" s="215">
        <f>IF(ISERROR(E30/N10),"NA",E30/N10)</f>
        <v>2.9480521255006886</v>
      </c>
      <c r="D35" s="215">
        <f>IF(ISERROR($E$30/D36),"NA",$E$30/D36)</f>
        <v>2.6321893977684714</v>
      </c>
      <c r="E35" s="215">
        <f>IF(ISERROR($E$30/E36),"NA",$E$30/E36)</f>
        <v>2.3963851035765398</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8054.9999090000001</v>
      </c>
      <c r="U35" s="110"/>
      <c r="V35" s="2"/>
      <c r="W35" s="2"/>
      <c r="X35" s="2"/>
      <c r="Y35" s="2"/>
      <c r="Z35" s="2"/>
    </row>
    <row r="36" spans="1:26" ht="15" customHeight="1" x14ac:dyDescent="0.2">
      <c r="A36" s="24"/>
      <c r="B36" s="111" t="s">
        <v>170</v>
      </c>
      <c r="C36" s="204">
        <f>N10</f>
        <v>67693015</v>
      </c>
      <c r="D36" s="166">
        <v>75816176.800000012</v>
      </c>
      <c r="E36" s="166">
        <v>83276488.597120017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4.1565256676006443</v>
      </c>
      <c r="D37" s="215">
        <f>IF(ISERROR($E$30/D38),"NA",$E$30/D38)</f>
        <v>3.7111836317862883</v>
      </c>
      <c r="E37" s="215">
        <f>IF(ISERROR($E$30/E38),"NA",$E$30/E38)</f>
        <v>3.3787178002424332</v>
      </c>
      <c r="F37" s="2"/>
      <c r="G37" s="122" t="s">
        <v>174</v>
      </c>
      <c r="H37" s="111"/>
      <c r="I37" s="171">
        <f t="shared" ref="I37:N37" si="10">SUM(I34:I36)</f>
        <v>32393121</v>
      </c>
      <c r="J37" s="171">
        <f t="shared" si="10"/>
        <v>38405972</v>
      </c>
      <c r="K37" s="171">
        <f t="shared" si="10"/>
        <v>48011862</v>
      </c>
      <c r="L37" s="177">
        <f t="shared" si="10"/>
        <v>0</v>
      </c>
      <c r="M37" s="178">
        <f t="shared" si="10"/>
        <v>0</v>
      </c>
      <c r="N37" s="171">
        <f t="shared" si="10"/>
        <v>48011862</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48011862</v>
      </c>
      <c r="D38" s="166">
        <v>53773285.440000013</v>
      </c>
      <c r="E38" s="166">
        <v>59064576.72729601</v>
      </c>
      <c r="F38" s="2"/>
      <c r="G38" s="128" t="s">
        <v>162</v>
      </c>
      <c r="H38" s="128"/>
      <c r="I38" s="189">
        <f t="shared" ref="I38:N38" si="11">IF(ISERROR(I37/I10),"NA",I37/I10)</f>
        <v>0.68475623694908272</v>
      </c>
      <c r="J38" s="189">
        <f t="shared" si="11"/>
        <v>0.69308317787404605</v>
      </c>
      <c r="K38" s="189">
        <f t="shared" si="11"/>
        <v>0.70925873223404212</v>
      </c>
      <c r="L38" s="195" t="str">
        <f t="shared" si="11"/>
        <v>NA</v>
      </c>
      <c r="M38" s="196" t="str">
        <f t="shared" si="11"/>
        <v>NA</v>
      </c>
      <c r="N38" s="189">
        <f t="shared" si="11"/>
        <v>0.70925873223404212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4.1565256676006443</v>
      </c>
      <c r="D39" s="215">
        <f>IF(ISERROR($E$30/D40),"NA",$E$30/D40)</f>
        <v>3.7111836317862883</v>
      </c>
      <c r="E39" s="215">
        <f>IF(ISERROR($E$30/E40),"NA",$E$30/E40)</f>
        <v>3.3787178002424332</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48011862</v>
      </c>
      <c r="D40" s="166">
        <v>53773285.440000013</v>
      </c>
      <c r="E40" s="166">
        <v>59064576.72729601</v>
      </c>
      <c r="F40" s="223"/>
      <c r="G40" s="111" t="s">
        <v>179</v>
      </c>
      <c r="H40" s="111"/>
      <c r="I40" s="139">
        <f t="shared" ref="I40:N40" si="12">+I56</f>
        <v>0</v>
      </c>
      <c r="J40" s="139">
        <f t="shared" si="12"/>
        <v>0</v>
      </c>
      <c r="K40" s="139">
        <f t="shared" si="12"/>
        <v>0</v>
      </c>
      <c r="L40" s="140">
        <f t="shared" si="12"/>
        <v>0</v>
      </c>
      <c r="M40" s="141">
        <f t="shared" si="12"/>
        <v>0</v>
      </c>
      <c r="N40" s="139">
        <f t="shared" si="12"/>
        <v>0</v>
      </c>
      <c r="O40" s="2"/>
      <c r="P40" s="122" t="s">
        <v>180</v>
      </c>
      <c r="Q40" s="111"/>
      <c r="R40" s="111"/>
      <c r="S40" s="111"/>
      <c r="T40" s="224">
        <f>T35+SUM(T38:T39)</f>
        <v>8054.9999090000001</v>
      </c>
      <c r="U40" s="110"/>
      <c r="V40" s="2"/>
      <c r="W40" s="2"/>
      <c r="X40" s="2"/>
      <c r="Y40" s="2"/>
      <c r="Z40" s="2"/>
    </row>
    <row r="41" spans="1:26" ht="12.75" customHeight="1" x14ac:dyDescent="0.2">
      <c r="A41" s="24"/>
      <c r="B41" s="111" t="s">
        <v>181</v>
      </c>
      <c r="C41" s="215">
        <f>IF(ISERROR($E$17/N52),"NA",E17/N52)</f>
        <v>4.9098347242366414</v>
      </c>
      <c r="D41" s="215">
        <f>IF(ISERROR($E$17/D42),"NA",$E$17/D42)</f>
        <v>6.6326530612244898</v>
      </c>
      <c r="E41" s="215">
        <f>IF(ISERROR($E$17/E42),"NA",$E$17/E42)</f>
        <v>6.0384678270434158</v>
      </c>
      <c r="F41" s="2"/>
      <c r="G41" s="122" t="s">
        <v>182</v>
      </c>
      <c r="H41" s="111"/>
      <c r="I41" s="171">
        <f t="shared" ref="I41:N41" si="13">I40+I37</f>
        <v>32393121</v>
      </c>
      <c r="J41" s="171">
        <f t="shared" si="13"/>
        <v>38405972</v>
      </c>
      <c r="K41" s="171">
        <f t="shared" si="13"/>
        <v>48011862</v>
      </c>
      <c r="L41" s="177">
        <f t="shared" si="13"/>
        <v>0</v>
      </c>
      <c r="M41" s="178">
        <f t="shared" si="13"/>
        <v>0</v>
      </c>
      <c r="N41" s="171">
        <f t="shared" si="13"/>
        <v>48011862</v>
      </c>
      <c r="O41" s="2"/>
      <c r="P41" s="111"/>
      <c r="Q41" s="111"/>
      <c r="R41" s="111"/>
      <c r="S41" s="111"/>
      <c r="T41" s="111"/>
      <c r="U41" s="110"/>
      <c r="V41" s="2"/>
      <c r="W41" s="2"/>
      <c r="X41" s="2"/>
      <c r="Y41" s="2"/>
      <c r="Z41" s="2"/>
    </row>
    <row r="42" spans="1:26" ht="15" customHeight="1" x14ac:dyDescent="0.2">
      <c r="A42" s="24"/>
      <c r="B42" s="111" t="s">
        <v>170</v>
      </c>
      <c r="C42" s="199">
        <f>N52</f>
        <v>5030.7192374668466</v>
      </c>
      <c r="D42" s="187">
        <v>3724</v>
      </c>
      <c r="E42" s="187">
        <v>4090.441600000001</v>
      </c>
      <c r="F42" s="2"/>
      <c r="G42" s="128" t="s">
        <v>162</v>
      </c>
      <c r="H42" s="128"/>
      <c r="I42" s="189">
        <f t="shared" ref="I42:N42" si="14">IF(ISERROR(I41/I10),"NA",I41/I10)</f>
        <v>0.68475623694908272</v>
      </c>
      <c r="J42" s="189">
        <f t="shared" si="14"/>
        <v>0.69308317787404605</v>
      </c>
      <c r="K42" s="189">
        <f t="shared" si="14"/>
        <v>0.70925873223404212</v>
      </c>
      <c r="L42" s="195" t="str">
        <f t="shared" si="14"/>
        <v>NA</v>
      </c>
      <c r="M42" s="196" t="str">
        <f t="shared" si="14"/>
        <v>NA</v>
      </c>
      <c r="N42" s="189">
        <f t="shared" si="14"/>
        <v>0.70925873223404212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26763820</v>
      </c>
      <c r="J44" s="204">
        <f t="shared" si="15"/>
        <v>32210401</v>
      </c>
      <c r="K44" s="204">
        <f t="shared" si="15"/>
        <v>40522443</v>
      </c>
      <c r="L44" s="213">
        <f t="shared" si="15"/>
        <v>0</v>
      </c>
      <c r="M44" s="214">
        <f t="shared" si="15"/>
        <v>0</v>
      </c>
      <c r="N44" s="204">
        <f t="shared" si="15"/>
        <v>40522443</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0.37063047495839024</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0.31281545163910318</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3.0722905839502834E-2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8.0971659919028341E-2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26763820</v>
      </c>
      <c r="J49" s="188">
        <f t="shared" si="19"/>
        <v>32210401</v>
      </c>
      <c r="K49" s="188">
        <f t="shared" si="19"/>
        <v>40522443</v>
      </c>
      <c r="L49" s="193">
        <f t="shared" si="19"/>
        <v>0</v>
      </c>
      <c r="M49" s="194">
        <f t="shared" si="19"/>
        <v>0</v>
      </c>
      <c r="N49" s="188">
        <f t="shared" si="19"/>
        <v>40522443</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0.56575878161238613</v>
      </c>
      <c r="J50" s="189">
        <f t="shared" si="20"/>
        <v>0.58127645059152133</v>
      </c>
      <c r="K50" s="189">
        <f t="shared" si="20"/>
        <v>0.59862074395711284</v>
      </c>
      <c r="L50" s="195" t="str">
        <f t="shared" si="20"/>
        <v>NA</v>
      </c>
      <c r="M50" s="196" t="str">
        <f t="shared" si="20"/>
        <v>NA</v>
      </c>
      <c r="N50" s="189">
        <f t="shared" si="20"/>
        <v>0.59862074395711284</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v>
      </c>
      <c r="F52" s="2"/>
      <c r="G52" s="111" t="s">
        <v>208</v>
      </c>
      <c r="H52" s="111"/>
      <c r="I52" s="199">
        <f t="shared" ref="I52:N52" si="21">IF(ISERROR(I49/I24),0,I49/I24)</f>
        <v>3322.6344261154231</v>
      </c>
      <c r="J52" s="199">
        <f t="shared" si="21"/>
        <v>3998.8083629908829</v>
      </c>
      <c r="K52" s="199">
        <f t="shared" si="21"/>
        <v>5030.7192374668466</v>
      </c>
      <c r="L52" s="200">
        <f t="shared" si="21"/>
        <v>0</v>
      </c>
      <c r="M52" s="201">
        <f t="shared" si="21"/>
        <v>0</v>
      </c>
      <c r="N52" s="199">
        <f t="shared" si="21"/>
        <v>5030.7192374668466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0</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0</v>
      </c>
      <c r="F56" s="2"/>
      <c r="G56" s="111" t="s">
        <v>179</v>
      </c>
      <c r="H56" s="111"/>
      <c r="I56" s="168">
        <v>0</v>
      </c>
      <c r="J56" s="168">
        <v>0</v>
      </c>
      <c r="K56" s="168">
        <v>0</v>
      </c>
      <c r="L56" s="238">
        <v>0</v>
      </c>
      <c r="M56" s="239">
        <v>0</v>
      </c>
      <c r="N56" s="181">
        <f>K56+M56-L56</f>
        <v>0</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v>
      </c>
      <c r="J57" s="241">
        <f t="shared" si="22"/>
        <v>0</v>
      </c>
      <c r="K57" s="241">
        <f t="shared" si="22"/>
        <v>0</v>
      </c>
      <c r="L57" s="242" t="str">
        <f t="shared" si="22"/>
        <v>NA</v>
      </c>
      <c r="M57" s="243" t="str">
        <f t="shared" si="22"/>
        <v>NA</v>
      </c>
      <c r="N57" s="241">
        <f t="shared" si="22"/>
        <v>0</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1655386</v>
      </c>
      <c r="J58" s="168">
        <v>2301696</v>
      </c>
      <c r="K58" s="168">
        <v>1780261</v>
      </c>
      <c r="L58" s="172">
        <v>0</v>
      </c>
      <c r="M58" s="173">
        <v>0</v>
      </c>
      <c r="N58" s="181">
        <f>K58+M58-L58</f>
        <v>1780261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3.4993105111983322E-2</v>
      </c>
      <c r="J59" s="241">
        <f t="shared" si="23"/>
        <v>4.1536945821342063E-2</v>
      </c>
      <c r="K59" s="241">
        <f t="shared" si="23"/>
        <v>2.6299035432237727E-2</v>
      </c>
      <c r="L59" s="244" t="str">
        <f t="shared" si="23"/>
        <v>NA</v>
      </c>
      <c r="M59" s="245" t="str">
        <f t="shared" si="23"/>
        <v>NA</v>
      </c>
      <c r="N59" s="241">
        <f t="shared" si="23"/>
        <v>2.6299035432237727E-2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0.22160402439692106</v>
      </c>
      <c r="D61" s="189">
        <f>IF(ISERROR(K41/J41-1),0,K41/J41-1)</f>
        <v>0.25011448740315689</v>
      </c>
      <c r="E61" s="189">
        <f>IF(ISERROR(K52/J52-1),0,K52/J52-1)</f>
        <v>0.25805459547057485</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0.19622680690347516</v>
      </c>
      <c r="D62" s="189">
        <f>IF(ISERROR((K41/I41)^(1/2)-1),0,(K41/I41)^(1/2)-1)</f>
        <v>0.21744087232279452</v>
      </c>
      <c r="E62" s="189">
        <f>IF(ISERROR((K52/I52)^(1/2)-1),0,(K52/I52)^(1/2)-1)</f>
        <v>0.2304777353089138</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0.12000000000000011</v>
      </c>
      <c r="D64" s="189">
        <f>IF(ISERROR(D38/K41-1),0,D38/K41-1)</f>
        <v>0.12000000000000033</v>
      </c>
      <c r="E64" s="189">
        <f>IF(ISERROR(D42/K52-1),0,D42/K52-1)</f>
        <v>-0.25974799542278337</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0.10914742031886826</v>
      </c>
      <c r="D65" s="189">
        <f>IF(ISERROR((E38/K41)^(1/2)-1),0,(E38/K41)^(1/2)-1)</f>
        <v>0.10914742031886826</v>
      </c>
      <c r="E65" s="189">
        <f>IF(ISERROR((E42/K52)^(1/2)-1),0,(E42/K52)^(1/2)-1)</f>
        <v>-9.8283413800314468E-2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9.8399999999999987E-2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Valuation Summary</vt:lpstr>
      <vt:lpstr>List</vt:lpstr>
      <vt:lpstr>Benchmarking 1</vt:lpstr>
      <vt:lpstr>Benchmarking 2</vt:lpstr>
      <vt:lpstr>Ouput</vt:lpstr>
      <vt:lpstr>TargetCo</vt:lpstr>
      <vt:lpstr>CompCo 1</vt:lpstr>
      <vt:lpstr>CompCo 2</vt:lpstr>
      <vt:lpstr>CompCo 3</vt:lpstr>
      <vt:lpstr>CompCo 4</vt:lpstr>
      <vt:lpstr>CompCo 5</vt:lpstr>
      <vt:lpstr>CompCo 6</vt:lpstr>
      <vt:lpstr>CompCo 7</vt:lpstr>
      <vt:lpstr>CompCo 8</vt:lpstr>
      <vt:lpstr>CompCo 9</vt:lpstr>
      <vt:lpstr>CompCo 10</vt:lpstr>
      <vt:lpstr>CompCo 11</vt:lpstr>
      <vt:lpstr>CompCo 12</vt:lpstr>
      <vt:lpstr>CompCo 13</vt:lpstr>
      <vt:lpstr>CompCo 14</vt:lpstr>
      <vt:lpstr>CompCo 15</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Nguyễn Vũ Trường Huy</cp:lastModifiedBy>
  <dcterms:created xsi:type="dcterms:W3CDTF">2026-06-11T06:41:48Z</dcterms:created>
  <dcterms:modified xsi:type="dcterms:W3CDTF">2026-06-11T14:02:43Z</dcterms:modified>
</cp:coreProperties>
</file>